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SUS\Desktop\QMA\PROPUESTAS\SG\1.CLIENTES\KIWA_CO\ONAC\ONAC_2025\PREPARACIÓN\Pagina web\"/>
    </mc:Choice>
  </mc:AlternateContent>
  <xr:revisionPtr revIDLastSave="0" documentId="13_ncr:1_{1E4CC902-3982-46E1-B4C3-BA0CCCE3797D}" xr6:coauthVersionLast="47" xr6:coauthVersionMax="47" xr10:uidLastSave="{00000000-0000-0000-0000-000000000000}"/>
  <bookViews>
    <workbookView xWindow="28680" yWindow="-120" windowWidth="20640" windowHeight="11040" tabRatio="858" xr2:uid="{00000000-000D-0000-FFFF-FFFF00000000}"/>
  </bookViews>
  <sheets>
    <sheet name="CONTENIDO" sheetId="8" r:id="rId1"/>
    <sheet name="1.FUENTESFINAN" sheetId="14" r:id="rId2"/>
    <sheet name="2.TARIFAS ORG" sheetId="1" r:id="rId3"/>
    <sheet name="3.PLANMUESTREOORG" sheetId="6" state="hidden" r:id="rId4"/>
    <sheet name="4.PLANMUESTREONOANUN" sheetId="7" state="hidden" r:id="rId5"/>
    <sheet name="5.TARIFAS UTZ " sheetId="9" state="hidden" r:id="rId6"/>
    <sheet name="6.TARIFAS 4C" sheetId="10" state="hidden" r:id="rId7"/>
    <sheet name="7.TARIFAS S&amp;D" sheetId="11" state="hidden" r:id="rId8"/>
    <sheet name="8.GG+ADDON " sheetId="4" state="hidden" r:id="rId9"/>
    <sheet name="3.TARIFASRSPO" sheetId="3" r:id="rId10"/>
    <sheet name="10.TARIFAS ISCC" sheetId="13" state="hidden" r:id="rId11"/>
    <sheet name="11.BRC+IFS" sheetId="15" state="hidden" r:id="rId12"/>
  </sheets>
  <externalReferences>
    <externalReference r:id="rId13"/>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54" i="4" l="1"/>
  <c r="E47" i="4" l="1"/>
  <c r="D47" i="4"/>
  <c r="D45" i="4" l="1"/>
  <c r="E44" i="4" l="1"/>
  <c r="E45" i="4"/>
  <c r="E46" i="4"/>
  <c r="E48" i="4"/>
  <c r="D44" i="4"/>
  <c r="D46" i="4"/>
  <c r="D48" i="4"/>
  <c r="E32" i="4" l="1"/>
  <c r="D32" i="4"/>
  <c r="E37" i="15" l="1"/>
  <c r="D37" i="15"/>
  <c r="C20" i="15"/>
  <c r="E20" i="15" s="1"/>
  <c r="E22" i="15"/>
  <c r="D22" i="15"/>
  <c r="E27" i="15"/>
  <c r="D27" i="15"/>
  <c r="C26" i="15"/>
  <c r="C28" i="15" s="1"/>
  <c r="E25" i="15"/>
  <c r="D25" i="15"/>
  <c r="D20" i="15" l="1"/>
  <c r="D26" i="15"/>
  <c r="E26" i="15"/>
  <c r="D28" i="15"/>
  <c r="E28" i="15"/>
  <c r="E42" i="15"/>
  <c r="D42" i="15"/>
  <c r="E41" i="15"/>
  <c r="D41" i="15"/>
  <c r="C35" i="15"/>
  <c r="C36" i="15" s="1"/>
  <c r="C38" i="15" s="1"/>
  <c r="E34" i="15"/>
  <c r="D34" i="15"/>
  <c r="E33" i="15"/>
  <c r="D33" i="15"/>
  <c r="E32" i="15"/>
  <c r="D32" i="15"/>
  <c r="E31" i="15"/>
  <c r="D31" i="15"/>
  <c r="E30" i="15"/>
  <c r="D30" i="15"/>
  <c r="E19" i="15"/>
  <c r="D19" i="15"/>
  <c r="E18" i="15"/>
  <c r="D18" i="15"/>
  <c r="E17" i="15"/>
  <c r="D17" i="15"/>
  <c r="E16" i="15"/>
  <c r="D16" i="15"/>
  <c r="E15" i="15"/>
  <c r="D15" i="15"/>
  <c r="E14" i="15"/>
  <c r="D14" i="15"/>
  <c r="E13" i="15"/>
  <c r="D13" i="15"/>
  <c r="E12" i="15"/>
  <c r="D12" i="15"/>
  <c r="E11" i="15"/>
  <c r="D11" i="15"/>
  <c r="C9" i="15"/>
  <c r="E8" i="15"/>
  <c r="D8" i="15"/>
  <c r="E7" i="15"/>
  <c r="D7" i="15"/>
  <c r="E6" i="15"/>
  <c r="D6" i="15"/>
  <c r="D35" i="15" l="1"/>
  <c r="E9" i="15"/>
  <c r="C21" i="15"/>
  <c r="C23" i="15"/>
  <c r="E35" i="15"/>
  <c r="D9" i="15"/>
  <c r="E21" i="15" l="1"/>
  <c r="D21" i="15"/>
  <c r="D23" i="15"/>
  <c r="E23" i="15"/>
  <c r="E36" i="15"/>
  <c r="D36" i="15"/>
  <c r="D38" i="15" l="1"/>
  <c r="E38" i="15"/>
  <c r="C32" i="13" l="1"/>
  <c r="C33" i="13" s="1"/>
  <c r="D33" i="13" s="1"/>
  <c r="E42" i="13"/>
  <c r="D42" i="13"/>
  <c r="E44" i="13"/>
  <c r="D44" i="13"/>
  <c r="C43" i="13"/>
  <c r="C45" i="13" s="1"/>
  <c r="D45" i="13" s="1"/>
  <c r="E41" i="13"/>
  <c r="D41" i="13"/>
  <c r="E40" i="13"/>
  <c r="D40" i="13"/>
  <c r="E39" i="13"/>
  <c r="D39" i="13"/>
  <c r="E38" i="13"/>
  <c r="D38" i="13"/>
  <c r="E37" i="13"/>
  <c r="D37" i="13"/>
  <c r="C20" i="13"/>
  <c r="E20" i="13" s="1"/>
  <c r="C35" i="13" l="1"/>
  <c r="D43" i="13"/>
  <c r="E43" i="13"/>
  <c r="E45" i="13"/>
  <c r="E33" i="13"/>
  <c r="C21" i="13"/>
  <c r="E21" i="13" s="1"/>
  <c r="D20" i="13"/>
  <c r="E34" i="13" l="1"/>
  <c r="D34" i="13"/>
  <c r="E32" i="13"/>
  <c r="D32" i="13"/>
  <c r="E28" i="13"/>
  <c r="D28" i="13"/>
  <c r="C27" i="13"/>
  <c r="E27" i="13" s="1"/>
  <c r="E26" i="13"/>
  <c r="D26" i="13"/>
  <c r="E23" i="13"/>
  <c r="D23" i="13"/>
  <c r="D21" i="13"/>
  <c r="E19" i="13"/>
  <c r="D19" i="13"/>
  <c r="E18" i="13"/>
  <c r="D18" i="13"/>
  <c r="E17" i="13"/>
  <c r="D17" i="13"/>
  <c r="E16" i="13"/>
  <c r="D16" i="13"/>
  <c r="E15" i="13"/>
  <c r="D15" i="13"/>
  <c r="E14" i="13"/>
  <c r="D14" i="13"/>
  <c r="E13" i="13"/>
  <c r="D13" i="13"/>
  <c r="E12" i="13"/>
  <c r="D12" i="13"/>
  <c r="E11" i="13"/>
  <c r="D11" i="13"/>
  <c r="C9" i="13"/>
  <c r="E8" i="13"/>
  <c r="D8" i="13"/>
  <c r="E7" i="13"/>
  <c r="D7" i="13"/>
  <c r="E6" i="13"/>
  <c r="D6" i="13"/>
  <c r="D9" i="13" l="1"/>
  <c r="C22" i="13"/>
  <c r="E9" i="13"/>
  <c r="E22" i="13"/>
  <c r="D27" i="13"/>
  <c r="C29" i="13"/>
  <c r="C24" i="13" l="1"/>
  <c r="E24" i="13" s="1"/>
  <c r="D22" i="13"/>
  <c r="E29" i="13"/>
  <c r="D29" i="13"/>
  <c r="E35" i="13"/>
  <c r="D35" i="13"/>
  <c r="D24" i="13" l="1"/>
  <c r="E34" i="11" l="1"/>
  <c r="D34" i="11"/>
  <c r="C33" i="11"/>
  <c r="C35" i="11" s="1"/>
  <c r="E32" i="11"/>
  <c r="D32" i="11"/>
  <c r="E31" i="11"/>
  <c r="D31" i="11"/>
  <c r="E30" i="11"/>
  <c r="D30" i="11"/>
  <c r="E29" i="11"/>
  <c r="D29" i="11"/>
  <c r="E28" i="11"/>
  <c r="D28" i="11"/>
  <c r="E27" i="11"/>
  <c r="D27" i="11"/>
  <c r="E24" i="11"/>
  <c r="D24" i="11"/>
  <c r="C23" i="11"/>
  <c r="E23" i="11" s="1"/>
  <c r="E22" i="11"/>
  <c r="D22" i="11"/>
  <c r="E19" i="11"/>
  <c r="D19" i="11"/>
  <c r="C18" i="11"/>
  <c r="E18" i="11" s="1"/>
  <c r="E17" i="11"/>
  <c r="D17" i="11"/>
  <c r="E16" i="11"/>
  <c r="D16" i="11"/>
  <c r="E15" i="11"/>
  <c r="D15" i="11"/>
  <c r="E14" i="11"/>
  <c r="D14" i="11"/>
  <c r="E13" i="11"/>
  <c r="D13" i="11"/>
  <c r="E12" i="11"/>
  <c r="D12" i="11"/>
  <c r="E11" i="11"/>
  <c r="D11" i="11"/>
  <c r="E10" i="11"/>
  <c r="D10" i="11"/>
  <c r="E9" i="11"/>
  <c r="D9" i="11"/>
  <c r="C7" i="11"/>
  <c r="E7" i="11" s="1"/>
  <c r="E6" i="11"/>
  <c r="D6" i="11"/>
  <c r="E5" i="11"/>
  <c r="D5" i="11"/>
  <c r="E4" i="11"/>
  <c r="D4" i="11"/>
  <c r="C18" i="10"/>
  <c r="E40" i="10"/>
  <c r="D40" i="10"/>
  <c r="C38" i="10"/>
  <c r="C39" i="10" s="1"/>
  <c r="E34" i="10"/>
  <c r="D34" i="10"/>
  <c r="C33" i="10"/>
  <c r="C35" i="10" s="1"/>
  <c r="E32" i="10"/>
  <c r="D32" i="10"/>
  <c r="E31" i="10"/>
  <c r="D31" i="10"/>
  <c r="E30" i="10"/>
  <c r="D30" i="10"/>
  <c r="E29" i="10"/>
  <c r="D29" i="10"/>
  <c r="E28" i="10"/>
  <c r="D28" i="10"/>
  <c r="E27" i="10"/>
  <c r="D27" i="10"/>
  <c r="E24" i="10"/>
  <c r="D24" i="10"/>
  <c r="C23" i="10"/>
  <c r="C25" i="10" s="1"/>
  <c r="E22" i="10"/>
  <c r="D22" i="10"/>
  <c r="E19" i="10"/>
  <c r="D19" i="10"/>
  <c r="E17" i="10"/>
  <c r="D17" i="10"/>
  <c r="E16" i="10"/>
  <c r="D16" i="10"/>
  <c r="E15" i="10"/>
  <c r="D15" i="10"/>
  <c r="E14" i="10"/>
  <c r="D14" i="10"/>
  <c r="E13" i="10"/>
  <c r="D13" i="10"/>
  <c r="E12" i="10"/>
  <c r="D12" i="10"/>
  <c r="E11" i="10"/>
  <c r="D11" i="10"/>
  <c r="E10" i="10"/>
  <c r="D10" i="10"/>
  <c r="E9" i="10"/>
  <c r="D9" i="10"/>
  <c r="C7" i="10"/>
  <c r="E7" i="10" s="1"/>
  <c r="E6" i="10"/>
  <c r="D6" i="10"/>
  <c r="E5" i="10"/>
  <c r="D5" i="10"/>
  <c r="E4" i="10"/>
  <c r="D4" i="10"/>
  <c r="D7" i="11" l="1"/>
  <c r="D23" i="11"/>
  <c r="C25" i="11"/>
  <c r="D35" i="11"/>
  <c r="D18" i="11"/>
  <c r="C20" i="11"/>
  <c r="E35" i="11"/>
  <c r="D7" i="10"/>
  <c r="D35" i="10"/>
  <c r="E35" i="10"/>
  <c r="E23" i="10"/>
  <c r="E38" i="10"/>
  <c r="E18" i="10"/>
  <c r="C20" i="10"/>
  <c r="D18" i="10"/>
  <c r="E25" i="10"/>
  <c r="D25" i="10"/>
  <c r="E39" i="10"/>
  <c r="C41" i="10"/>
  <c r="D39" i="10"/>
  <c r="D23" i="10"/>
  <c r="D38" i="10"/>
  <c r="D20" i="11" l="1"/>
  <c r="E20" i="11"/>
  <c r="E25" i="11"/>
  <c r="D25" i="11"/>
  <c r="E41" i="10"/>
  <c r="D41" i="10"/>
  <c r="E20" i="10"/>
  <c r="D20" i="10"/>
  <c r="B45" i="9" l="1"/>
  <c r="E43" i="4" l="1"/>
  <c r="E42" i="4"/>
  <c r="D43" i="4"/>
  <c r="D42" i="4"/>
  <c r="C49" i="4" l="1"/>
  <c r="E49" i="4" l="1"/>
  <c r="D49" i="4"/>
  <c r="B44" i="9"/>
  <c r="E40" i="9"/>
  <c r="D40" i="9"/>
  <c r="E36" i="9"/>
  <c r="D36" i="9"/>
  <c r="C34" i="9"/>
  <c r="C35" i="9" s="1"/>
  <c r="E33" i="9"/>
  <c r="D33" i="9"/>
  <c r="E32" i="9"/>
  <c r="D32" i="9"/>
  <c r="E31" i="9"/>
  <c r="D31" i="9"/>
  <c r="E30" i="9"/>
  <c r="D30" i="9"/>
  <c r="E29" i="9"/>
  <c r="D29" i="9"/>
  <c r="E26" i="9"/>
  <c r="D26" i="9"/>
  <c r="C25" i="9"/>
  <c r="E25" i="9" s="1"/>
  <c r="E24" i="9"/>
  <c r="D24" i="9"/>
  <c r="E21" i="9"/>
  <c r="D21" i="9"/>
  <c r="C19" i="9"/>
  <c r="E18" i="9"/>
  <c r="D18" i="9"/>
  <c r="E17" i="9"/>
  <c r="D17" i="9"/>
  <c r="E16" i="9"/>
  <c r="D16" i="9"/>
  <c r="E15" i="9"/>
  <c r="D15" i="9"/>
  <c r="E14" i="9"/>
  <c r="D14" i="9"/>
  <c r="E13" i="9"/>
  <c r="D13" i="9"/>
  <c r="E12" i="9"/>
  <c r="D12" i="9"/>
  <c r="E11" i="9"/>
  <c r="D11" i="9"/>
  <c r="E10" i="9"/>
  <c r="D10" i="9"/>
  <c r="C8" i="9"/>
  <c r="E7" i="9"/>
  <c r="E6" i="9"/>
  <c r="D6" i="9"/>
  <c r="E5" i="9"/>
  <c r="D5" i="9"/>
  <c r="E19" i="9" l="1"/>
  <c r="C20" i="9"/>
  <c r="C37" i="9"/>
  <c r="D37" i="9" s="1"/>
  <c r="E35" i="9"/>
  <c r="D25" i="9"/>
  <c r="C27" i="9"/>
  <c r="D34" i="9"/>
  <c r="E34" i="9"/>
  <c r="C22" i="9"/>
  <c r="E8" i="9"/>
  <c r="D8" i="9"/>
  <c r="E37" i="9"/>
  <c r="D19" i="9"/>
  <c r="D35" i="9"/>
  <c r="D20" i="9" l="1"/>
  <c r="E20" i="9"/>
  <c r="D27" i="9"/>
  <c r="E27" i="9"/>
  <c r="E22" i="9"/>
  <c r="D22" i="9"/>
  <c r="D24" i="7"/>
  <c r="C21" i="7"/>
  <c r="C22" i="7"/>
  <c r="C23" i="7"/>
  <c r="C24" i="7" l="1"/>
  <c r="J16" i="7" l="1"/>
  <c r="L16" i="7" s="1"/>
  <c r="J15" i="7"/>
  <c r="L15" i="7" s="1"/>
  <c r="J14" i="7"/>
  <c r="L14" i="7" s="1"/>
  <c r="J13" i="7"/>
  <c r="L13" i="7" s="1"/>
  <c r="J11" i="7"/>
  <c r="L11" i="7" s="1"/>
  <c r="J10" i="7"/>
  <c r="L10" i="7" s="1"/>
  <c r="J9" i="7"/>
  <c r="L9" i="7" s="1"/>
  <c r="L8" i="7"/>
  <c r="J7" i="7"/>
  <c r="L7" i="7" s="1"/>
  <c r="J6" i="7"/>
  <c r="L6" i="7" s="1"/>
  <c r="J15" i="6"/>
  <c r="J14" i="6"/>
  <c r="J13" i="6"/>
  <c r="J12" i="6"/>
  <c r="J11" i="6"/>
  <c r="J10" i="6"/>
  <c r="J9" i="6"/>
  <c r="J8" i="6"/>
  <c r="J7" i="6"/>
  <c r="J6" i="6"/>
  <c r="J16" i="6" l="1"/>
  <c r="L18" i="7"/>
  <c r="J18" i="6"/>
  <c r="K18" i="6" s="1"/>
  <c r="J17" i="6"/>
  <c r="E23" i="7" l="1"/>
  <c r="F23" i="7" s="1"/>
  <c r="E22" i="7"/>
  <c r="F22" i="7" s="1"/>
  <c r="E21" i="7"/>
  <c r="F21" i="7" s="1"/>
  <c r="E24" i="7" l="1"/>
  <c r="E37" i="4" l="1"/>
  <c r="D37" i="4"/>
  <c r="E12" i="4"/>
  <c r="E13" i="4"/>
  <c r="E14" i="4"/>
  <c r="E15" i="4"/>
  <c r="E16" i="4"/>
  <c r="E17" i="4"/>
  <c r="E18" i="4"/>
  <c r="E19" i="4"/>
  <c r="E11" i="4" l="1"/>
  <c r="D12" i="4"/>
  <c r="D13" i="4"/>
  <c r="D14" i="4"/>
  <c r="D15" i="4"/>
  <c r="D16" i="4"/>
  <c r="D17" i="4"/>
  <c r="D18" i="4"/>
  <c r="D19" i="4"/>
  <c r="D11" i="4"/>
  <c r="C30" i="4"/>
  <c r="E29" i="4"/>
  <c r="D29" i="4"/>
  <c r="E28" i="4"/>
  <c r="D28" i="4"/>
  <c r="E27" i="4"/>
  <c r="D27" i="4"/>
  <c r="E26" i="4"/>
  <c r="D26" i="4"/>
  <c r="E25" i="4"/>
  <c r="D25" i="4"/>
  <c r="C9" i="4"/>
  <c r="C20" i="4"/>
  <c r="C36" i="4"/>
  <c r="E36" i="4" s="1"/>
  <c r="E35" i="4"/>
  <c r="D35" i="4"/>
  <c r="C21" i="4" l="1"/>
  <c r="C23" i="4" s="1"/>
  <c r="C31" i="4"/>
  <c r="C33" i="4" s="1"/>
  <c r="E20" i="4"/>
  <c r="D20" i="4"/>
  <c r="E30" i="4"/>
  <c r="D30" i="4"/>
  <c r="C38" i="4"/>
  <c r="D36" i="4"/>
  <c r="D6" i="4"/>
  <c r="E6" i="4"/>
  <c r="D7" i="4"/>
  <c r="E7" i="4"/>
  <c r="D8" i="4"/>
  <c r="E8" i="4"/>
  <c r="E9" i="4"/>
  <c r="D9" i="4"/>
  <c r="D33" i="4" l="1"/>
  <c r="E33" i="4"/>
  <c r="E31" i="4"/>
  <c r="D31" i="4"/>
  <c r="D38" i="4"/>
  <c r="E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I6" authorId="0" shapeId="0" xr:uid="{00000000-0006-0000-0300-000001000000}">
      <text>
        <r>
          <rPr>
            <b/>
            <sz val="9"/>
            <color indexed="81"/>
            <rFont val="Tahoma"/>
            <family val="2"/>
          </rPr>
          <t>Adriana :</t>
        </r>
        <r>
          <rPr>
            <sz val="9"/>
            <color indexed="81"/>
            <rFont val="Tahoma"/>
            <family val="2"/>
          </rPr>
          <t xml:space="preserve">
Valor pagado a fitolab $600.000</t>
        </r>
      </text>
    </comment>
    <comment ref="J18" authorId="0" shapeId="0" xr:uid="{00000000-0006-0000-0300-000002000000}">
      <text>
        <r>
          <rPr>
            <b/>
            <sz val="9"/>
            <color indexed="81"/>
            <rFont val="Tahoma"/>
            <family val="2"/>
          </rPr>
          <t>Adriana :</t>
        </r>
        <r>
          <rPr>
            <sz val="9"/>
            <color indexed="81"/>
            <rFont val="Tahoma"/>
            <family val="2"/>
          </rPr>
          <t xml:space="preserve">
valor total / 108 clientes activos+22 clientes nuevos.=130 clientes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H6" authorId="0" shapeId="0" xr:uid="{00000000-0006-0000-0400-000001000000}">
      <text>
        <r>
          <rPr>
            <b/>
            <sz val="9"/>
            <color indexed="81"/>
            <rFont val="Tahoma"/>
            <family val="2"/>
          </rPr>
          <t>Adriana :</t>
        </r>
        <r>
          <rPr>
            <sz val="9"/>
            <color indexed="81"/>
            <rFont val="Tahoma"/>
            <family val="2"/>
          </rPr>
          <t xml:space="preserve">
1 A
2 B (Trapiche y planta)
0,5 comercializacion</t>
        </r>
      </text>
    </comment>
    <comment ref="J6" authorId="0" shapeId="0" xr:uid="{00000000-0006-0000-0400-000002000000}">
      <text>
        <r>
          <rPr>
            <b/>
            <sz val="9"/>
            <color indexed="81"/>
            <rFont val="Tahoma"/>
            <family val="2"/>
          </rPr>
          <t>Adriana :</t>
        </r>
        <r>
          <rPr>
            <sz val="9"/>
            <color indexed="81"/>
            <rFont val="Tahoma"/>
            <family val="2"/>
          </rPr>
          <t xml:space="preserve">
2 informe
0,5 desplazamiento</t>
        </r>
      </text>
    </comment>
    <comment ref="J7" authorId="0" shapeId="0" xr:uid="{00000000-0006-0000-0400-000003000000}">
      <text>
        <r>
          <rPr>
            <b/>
            <sz val="9"/>
            <color indexed="81"/>
            <rFont val="Tahoma"/>
            <family val="2"/>
          </rPr>
          <t>Adriana :</t>
        </r>
        <r>
          <rPr>
            <sz val="9"/>
            <color indexed="81"/>
            <rFont val="Tahoma"/>
            <family val="2"/>
          </rPr>
          <t xml:space="preserve">
2 elabracion  informe
0,5  viaje</t>
        </r>
      </text>
    </comment>
    <comment ref="J8" authorId="0" shapeId="0" xr:uid="{00000000-0006-0000-0400-000004000000}">
      <text>
        <r>
          <rPr>
            <b/>
            <sz val="9"/>
            <color indexed="81"/>
            <rFont val="Tahoma"/>
            <family val="2"/>
          </rPr>
          <t>Adriana :</t>
        </r>
        <r>
          <rPr>
            <sz val="9"/>
            <color indexed="81"/>
            <rFont val="Tahoma"/>
            <family val="2"/>
          </rPr>
          <t xml:space="preserve">
0,5 informe</t>
        </r>
      </text>
    </comment>
    <comment ref="H9" authorId="0" shapeId="0" xr:uid="{00000000-0006-0000-0400-000005000000}">
      <text>
        <r>
          <rPr>
            <b/>
            <sz val="9"/>
            <color indexed="81"/>
            <rFont val="Tahoma"/>
            <family val="2"/>
          </rPr>
          <t>Adriana :</t>
        </r>
        <r>
          <rPr>
            <sz val="9"/>
            <color indexed="81"/>
            <rFont val="Tahoma"/>
            <family val="2"/>
          </rPr>
          <t xml:space="preserve">
A 
1 dia
B  1  dia </t>
        </r>
      </text>
    </comment>
    <comment ref="J9" authorId="0" shapeId="0" xr:uid="{00000000-0006-0000-0400-000006000000}">
      <text>
        <r>
          <rPr>
            <b/>
            <sz val="9"/>
            <color indexed="81"/>
            <rFont val="Tahoma"/>
            <family val="2"/>
          </rPr>
          <t>Adriana :</t>
        </r>
        <r>
          <rPr>
            <sz val="9"/>
            <color indexed="81"/>
            <rFont val="Tahoma"/>
            <family val="2"/>
          </rPr>
          <t xml:space="preserve">
2 elabracion reporte</t>
        </r>
      </text>
    </comment>
    <comment ref="J10" authorId="0" shapeId="0" xr:uid="{00000000-0006-0000-0400-000007000000}">
      <text>
        <r>
          <rPr>
            <b/>
            <sz val="9"/>
            <color indexed="81"/>
            <rFont val="Tahoma"/>
            <family val="2"/>
          </rPr>
          <t xml:space="preserve">Adriana :
</t>
        </r>
        <r>
          <rPr>
            <sz val="9"/>
            <color indexed="81"/>
            <rFont val="Tahoma"/>
            <family val="2"/>
          </rPr>
          <t xml:space="preserve">
1 elaboracion informe</t>
        </r>
      </text>
    </comment>
    <comment ref="H11" authorId="0" shapeId="0" xr:uid="{00000000-0006-0000-0400-000008000000}">
      <text>
        <r>
          <rPr>
            <b/>
            <sz val="9"/>
            <color indexed="81"/>
            <rFont val="Tahoma"/>
            <family val="2"/>
          </rPr>
          <t>Adriana :</t>
        </r>
        <r>
          <rPr>
            <sz val="9"/>
            <color indexed="81"/>
            <rFont val="Tahoma"/>
            <family val="2"/>
          </rPr>
          <t xml:space="preserve">
0,5 comercializacion+0,5 postcosecha </t>
        </r>
      </text>
    </comment>
    <comment ref="J11" authorId="0" shapeId="0" xr:uid="{00000000-0006-0000-0400-000009000000}">
      <text>
        <r>
          <rPr>
            <b/>
            <sz val="9"/>
            <color indexed="81"/>
            <rFont val="Tahoma"/>
            <family val="2"/>
          </rPr>
          <t>Adriana :</t>
        </r>
        <r>
          <rPr>
            <sz val="9"/>
            <color indexed="81"/>
            <rFont val="Tahoma"/>
            <family val="2"/>
          </rPr>
          <t xml:space="preserve">
1 elaboracion informe 
0,5 desplazamiento</t>
        </r>
      </text>
    </comment>
    <comment ref="H13" authorId="0" shapeId="0" xr:uid="{00000000-0006-0000-0400-00000A000000}">
      <text>
        <r>
          <rPr>
            <b/>
            <sz val="9"/>
            <color indexed="81"/>
            <rFont val="Tahoma"/>
            <family val="2"/>
          </rPr>
          <t>Adriana :</t>
        </r>
        <r>
          <rPr>
            <sz val="9"/>
            <color indexed="81"/>
            <rFont val="Tahoma"/>
            <family val="2"/>
          </rPr>
          <t xml:space="preserve">
1 sic
2 fincas( 8 prroductores)</t>
        </r>
      </text>
    </comment>
    <comment ref="J13" authorId="0" shapeId="0" xr:uid="{00000000-0006-0000-0400-00000B000000}">
      <text>
        <r>
          <rPr>
            <b/>
            <sz val="9"/>
            <color indexed="81"/>
            <rFont val="Tahoma"/>
            <family val="2"/>
          </rPr>
          <t>Adriana :</t>
        </r>
        <r>
          <rPr>
            <sz val="9"/>
            <color indexed="81"/>
            <rFont val="Tahoma"/>
            <family val="2"/>
          </rPr>
          <t xml:space="preserve">
2  informe
0,5 desplazaminto </t>
        </r>
      </text>
    </comment>
    <comment ref="J14" authorId="0" shapeId="0" xr:uid="{00000000-0006-0000-0400-00000C000000}">
      <text>
        <r>
          <rPr>
            <b/>
            <sz val="9"/>
            <color indexed="81"/>
            <rFont val="Tahoma"/>
            <family val="2"/>
          </rPr>
          <t>Adriana :</t>
        </r>
        <r>
          <rPr>
            <sz val="9"/>
            <color indexed="81"/>
            <rFont val="Tahoma"/>
            <family val="2"/>
          </rPr>
          <t xml:space="preserve">
1 preparacion
1  informe</t>
        </r>
      </text>
    </comment>
    <comment ref="J15" authorId="0" shapeId="0" xr:uid="{00000000-0006-0000-0400-00000D000000}">
      <text>
        <r>
          <rPr>
            <b/>
            <sz val="9"/>
            <color indexed="81"/>
            <rFont val="Tahoma"/>
            <family val="2"/>
          </rPr>
          <t>Adriana :</t>
        </r>
        <r>
          <rPr>
            <sz val="9"/>
            <color indexed="81"/>
            <rFont val="Tahoma"/>
            <family val="2"/>
          </rPr>
          <t xml:space="preserve">
1reporte
0,5 desplazamiento</t>
        </r>
      </text>
    </comment>
    <comment ref="J16" authorId="0" shapeId="0" xr:uid="{00000000-0006-0000-0400-00000E000000}">
      <text>
        <r>
          <rPr>
            <b/>
            <sz val="9"/>
            <color indexed="81"/>
            <rFont val="Tahoma"/>
            <family val="2"/>
          </rPr>
          <t>Adriana :</t>
        </r>
        <r>
          <rPr>
            <sz val="9"/>
            <color indexed="81"/>
            <rFont val="Tahoma"/>
            <family val="2"/>
          </rPr>
          <t xml:space="preserve">
1reporte
0,5 desplazamiento</t>
        </r>
      </text>
    </comment>
    <comment ref="C20" authorId="0" shapeId="0" xr:uid="{00000000-0006-0000-0400-00000F000000}">
      <text>
        <r>
          <rPr>
            <b/>
            <sz val="9"/>
            <color indexed="81"/>
            <rFont val="Tahoma"/>
            <family val="2"/>
          </rPr>
          <t>Adriana :</t>
        </r>
        <r>
          <rPr>
            <sz val="9"/>
            <color indexed="81"/>
            <rFont val="Tahoma"/>
            <family val="2"/>
          </rPr>
          <t xml:space="preserve">
108 activos al 2018
22 nuevos 2019
 total 130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C24" authorId="0" shapeId="0" xr:uid="{00000000-0006-0000-0A00-000001000000}">
      <text>
        <r>
          <rPr>
            <b/>
            <sz val="9"/>
            <color indexed="81"/>
            <rFont val="Tahoma"/>
            <family val="2"/>
          </rPr>
          <t>Adriana :</t>
        </r>
        <r>
          <rPr>
            <sz val="9"/>
            <color indexed="81"/>
            <rFont val="Tahoma"/>
            <family val="2"/>
          </rPr>
          <t xml:space="preserve">
Margen de cubrir costos de acreditacion</t>
        </r>
      </text>
    </comment>
  </commentList>
</comments>
</file>

<file path=xl/sharedStrings.xml><?xml version="1.0" encoding="utf-8"?>
<sst xmlns="http://schemas.openxmlformats.org/spreadsheetml/2006/main" count="651" uniqueCount="183">
  <si>
    <t>TABLA DE TARIFAS Y APOYO FINANCIERO</t>
  </si>
  <si>
    <t>G.02.06_F-65_CO</t>
  </si>
  <si>
    <r>
      <rPr>
        <b/>
        <sz val="9"/>
        <rFont val="Arial"/>
        <family val="2"/>
      </rPr>
      <t>OBJETIVO</t>
    </r>
    <r>
      <rPr>
        <sz val="9"/>
        <rFont val="Arial"/>
        <family val="2"/>
      </rPr>
      <t xml:space="preserve"> En el presente   documento se encuentra la información general sobre las tarifas cobradas a los solicitantes y clientes y la descripción de los medios mediante los cuales KIWA COLOMBIA S.A.S obtiene su apoyo financiero. Esto con el objetivo de asegurar el cumplimiento de los principios de imparcialidad, objetividad, no discriminación, independencia en la prestación del servicio de certificación de productos. </t>
    </r>
  </si>
  <si>
    <t>1. Fuentes de Financiacion</t>
  </si>
  <si>
    <t>2. Tarifas certificacion organica</t>
  </si>
  <si>
    <t xml:space="preserve">2.1. Tarifas certificacion organica nacional+ internacional </t>
  </si>
  <si>
    <t>2.2.Tarifas certificacion organica nacional</t>
  </si>
  <si>
    <t>3. Plan de muestro organico-no anunciada</t>
  </si>
  <si>
    <t>4. Plan de muestro organico- analisis de residualidad</t>
  </si>
  <si>
    <t>5. Tarifas certificacion  4C</t>
  </si>
  <si>
    <t>6.  Tarifas  certificacion S&amp;D</t>
  </si>
  <si>
    <t>7. Tarifas  certificacion.GG+ADDON</t>
  </si>
  <si>
    <t>8.Tarifas certificacion  RSPO</t>
  </si>
  <si>
    <t>9.Tarifas certificacion ISCC</t>
  </si>
  <si>
    <t>10. Tarifas IFS+BRC</t>
  </si>
  <si>
    <t>Doc. ID : G.02.06_F-65_CO</t>
  </si>
  <si>
    <t xml:space="preserve">1. FUENTES DE FINANCIACION </t>
  </si>
  <si>
    <r>
      <t xml:space="preserve">
KIWA COLOMBIA S.A.S S.A.S. identificada con el Nit 830.136.612 – 3 con domicilio en la ciudad de Zipaquirá, está conformada por un capital autorizado, dividido en (100) acciones, de acuerdo con Certificado de Existencia y Representación Legal.
</t>
    </r>
    <r>
      <rPr>
        <i/>
        <sz val="9"/>
        <rFont val="Arial"/>
        <family val="2"/>
      </rPr>
      <t>Las principales fuentes de financiación de KIWA COLOMBIA S.A.S son:</t>
    </r>
    <r>
      <rPr>
        <sz val="9"/>
        <rFont val="Arial"/>
        <family val="2"/>
      </rPr>
      <t xml:space="preserve">
1.	Servicio de Certificación para las siguientes normas:
•	CEE
•	NOP
•	JAS
•	Global G.A.P.
•	Certificación Nacional (Res. 187/2006 y Res 199/2017)
•	COR (Canadá)
•	4 C
•	KOC (Corea)
•	Biossuise
•	BRC
•	HACCP
•	GRASP
•	TESCO
•	 Guías ce certificacion  privadas  ejemplo  S&amp;D 
•	BIRD FRIENDLY RSPO
2.	Modificaciones a los certificados:
•	Extensión o Ampliación Certificado MC
•	Cambio Certificado Nacional
•	Cambio Certificado MC
•	Certificados de Transacción
3.	Cursos de interpretación de las Normas
4.	 Pre-auditorias
5.	Crédito rotativo con el Banco de Bogotá
En la gráfica siguiente se encuentra la distribución por fuentes de ingreso desde el 1 de enero hasta el 31 de diciembre de 2017:
6.	Documentos, registros de soporte:
•	Análisis de la Gestión Empresarial
•	Balances: Estado de Resultados, Balance General
•	Análisis Grafico
•	Facturación
•	Control Presupuesto
•	Estatutos
•	Fuente: K:\Area Contable\Informes Alemania</t>
    </r>
  </si>
  <si>
    <t>2.1 NACIONAL</t>
  </si>
  <si>
    <t>2.1.2 TABLA DE TARIFAS</t>
  </si>
  <si>
    <t>ITEM</t>
  </si>
  <si>
    <t xml:space="preserve">COSTO DIARIO </t>
  </si>
  <si>
    <t>DÍA DE INSPECCIÓN.</t>
  </si>
  <si>
    <t xml:space="preserve">DÍA DE OFICINA </t>
  </si>
  <si>
    <t>DÍA DE REVISIÓN</t>
  </si>
  <si>
    <t>FEES CERTIFICACIÓN NACIONAL</t>
  </si>
  <si>
    <t xml:space="preserve">Regular 35 Euros.
Large 70 Euros.
Complex 100 Euros
</t>
  </si>
  <si>
    <t>GASTOS ADMINSITRATIVOS</t>
  </si>
  <si>
    <t xml:space="preserve">50% de la oferta.
</t>
  </si>
  <si>
    <t>KIWA COLOMBIA S.A.S - EJECUCIÓN PLAN DE MUESTREO</t>
  </si>
  <si>
    <t>Operador</t>
  </si>
  <si>
    <t>Fecha de muestra</t>
  </si>
  <si>
    <t>Cantidad de Muestras</t>
  </si>
  <si>
    <t>Riesgo</t>
  </si>
  <si>
    <t>Normas</t>
  </si>
  <si>
    <t>Estado</t>
  </si>
  <si>
    <t xml:space="preserve">Valor Unitario </t>
  </si>
  <si>
    <t xml:space="preserve">Valor total </t>
  </si>
  <si>
    <t>UE</t>
  </si>
  <si>
    <t>NAL</t>
  </si>
  <si>
    <t>Federación Nacional de Cafeteros Exportadora - FNC</t>
  </si>
  <si>
    <t>No definida</t>
  </si>
  <si>
    <t>Medio</t>
  </si>
  <si>
    <t>X</t>
  </si>
  <si>
    <t>Fundación Para el Mercadeo del Campo FUNDEMERCA</t>
  </si>
  <si>
    <t>Alto</t>
  </si>
  <si>
    <t>Ejecutado</t>
  </si>
  <si>
    <t>Compañía Envasadora del Atlántico S.A.S - CEA</t>
  </si>
  <si>
    <t>Federación Nacional de Cafeteros de Colombia Combrilla Costenible Kachalú</t>
  </si>
  <si>
    <t>Cooperativa de Caficultores y Agricultores de la Sierra Nevada de Santa Marta COOAGRONEVADA</t>
  </si>
  <si>
    <t>Productores Agroecológicos Asociados de Nilo - PROASOAGRO</t>
  </si>
  <si>
    <t xml:space="preserve">Cooperativa Cafetera de la Costa LTDA - CAFICOSTA </t>
  </si>
  <si>
    <t>INCONEXUS  S.A.S - Grupo Sierra</t>
  </si>
  <si>
    <t>Bajo</t>
  </si>
  <si>
    <t>Asociación de Productores del Macizo Colombiano - Macizo Vivo</t>
  </si>
  <si>
    <t>Asociación de Paneleros de Quinchía ASOPANELA</t>
  </si>
  <si>
    <t>KIWA COLOMBIA S.A.S - EJECUCIÓN PLAN NO ANUNCIADAS</t>
  </si>
  <si>
    <t>Proyecto</t>
  </si>
  <si>
    <t>Fecha Auditoria (NA)</t>
  </si>
  <si>
    <t>Nivel de Riesgo</t>
  </si>
  <si>
    <t xml:space="preserve">Inspecccion </t>
  </si>
  <si>
    <t xml:space="preserve"> elaboracion del reporte </t>
  </si>
  <si>
    <t xml:space="preserve"> Valor la inspeccion </t>
  </si>
  <si>
    <t xml:space="preserve"> No dias </t>
  </si>
  <si>
    <t xml:space="preserve">Tarifa </t>
  </si>
  <si>
    <t xml:space="preserve">No  dias </t>
  </si>
  <si>
    <t xml:space="preserve"> Tarifa </t>
  </si>
  <si>
    <t>Corporación Panelera Doña Panela LTDA</t>
  </si>
  <si>
    <t>Asociación de Pequeños Caficultores de Ocamonte APCO</t>
  </si>
  <si>
    <t>Grupo TAP S.A.S</t>
  </si>
  <si>
    <t>Productos y Servicios Líderes de Colombia S.A.S - PROSERVICOL S.A.S</t>
  </si>
  <si>
    <t>Café Mulato Orgánico S.A.S</t>
  </si>
  <si>
    <t>NOVACAMPO S.A.C.C.I</t>
  </si>
  <si>
    <t>Asociación de familias productoras indígenas SEYNEKUN</t>
  </si>
  <si>
    <t xml:space="preserve">Asociación de Productores Orgánicos ACAYMA </t>
  </si>
  <si>
    <t>TRITOCAFÉ S.A.S.</t>
  </si>
  <si>
    <t>Jose Miguel Valdivieso - NOVACAMPO</t>
  </si>
  <si>
    <t>Orlando Bayona - NOVACAMPO</t>
  </si>
  <si>
    <t xml:space="preserve"> Valor total Muestreo </t>
  </si>
  <si>
    <t>No clientes</t>
  </si>
  <si>
    <t>%</t>
  </si>
  <si>
    <t xml:space="preserve">% sobre valor total </t>
  </si>
  <si>
    <t xml:space="preserve">valor a pagar </t>
  </si>
  <si>
    <t>Hasta  4.000.000</t>
  </si>
  <si>
    <t>Desde $4.000.000 hasta $10.000.000</t>
  </si>
  <si>
    <t>Desde$10.000.000</t>
  </si>
  <si>
    <t xml:space="preserve">5. Tarifas certificacion UTZ </t>
  </si>
  <si>
    <t>UNIDAD</t>
  </si>
  <si>
    <t>VALOR $ COL</t>
  </si>
  <si>
    <t>VALOR €</t>
  </si>
  <si>
    <t>VALOR $ USD</t>
  </si>
  <si>
    <t>1.1.COSTOS INSPECCION</t>
  </si>
  <si>
    <t>UTZ</t>
  </si>
  <si>
    <t xml:space="preserve">Inspector Nacional </t>
  </si>
  <si>
    <t>1 dia Labor</t>
  </si>
  <si>
    <t>Coordinador Area tecnica</t>
  </si>
  <si>
    <t>Auxiliar Area tecnica</t>
  </si>
  <si>
    <t>SUBTOTAL</t>
  </si>
  <si>
    <t>---</t>
  </si>
  <si>
    <t>1.1.1.OTROS  COSTOS</t>
  </si>
  <si>
    <t>Arriendo</t>
  </si>
  <si>
    <t xml:space="preserve"> 1 dia  anual</t>
  </si>
  <si>
    <t>Agua</t>
  </si>
  <si>
    <t>Luz</t>
  </si>
  <si>
    <t xml:space="preserve">Correspondencia </t>
  </si>
  <si>
    <t>telefono</t>
  </si>
  <si>
    <t>Internet</t>
  </si>
  <si>
    <t>servcios generales</t>
  </si>
  <si>
    <t>Apoyo tecnico</t>
  </si>
  <si>
    <t>papeleria</t>
  </si>
  <si>
    <t xml:space="preserve">TOTAL </t>
  </si>
  <si>
    <t>Tarifa base</t>
  </si>
  <si>
    <t xml:space="preserve">Margen de Utilidad </t>
  </si>
  <si>
    <t>----</t>
  </si>
  <si>
    <t>COSTOS INFORMES+REVISION ACS+REVISION PREVIA</t>
  </si>
  <si>
    <t>Inspector</t>
  </si>
  <si>
    <t>COSTOS ADMINISTRATIVOS</t>
  </si>
  <si>
    <t xml:space="preserve">Coordinador area comercial </t>
  </si>
  <si>
    <t xml:space="preserve">Asistente Area comercial </t>
  </si>
  <si>
    <t>Contadora</t>
  </si>
  <si>
    <t>Asistente adminitrativa</t>
  </si>
  <si>
    <t>Auxiliar  Administrativa</t>
  </si>
  <si>
    <t>Coordinador Calidad</t>
  </si>
  <si>
    <t>COSTOS CERTIFICACION</t>
  </si>
  <si>
    <t>INTERNACIONAL</t>
  </si>
  <si>
    <t xml:space="preserve">UTZ </t>
  </si>
  <si>
    <t>LSA DE( 300 EUROS)</t>
  </si>
  <si>
    <t>2. TABLA DE TARIFAS</t>
  </si>
  <si>
    <t>RANGO</t>
  </si>
  <si>
    <t>COSTO DIA DE INSPECCION</t>
  </si>
  <si>
    <t xml:space="preserve">INDIVIDUAL </t>
  </si>
  <si>
    <t>GRUPAL</t>
  </si>
  <si>
    <t>6. Tarifas certificacion  4C</t>
  </si>
  <si>
    <t>VALOR $</t>
  </si>
  <si>
    <t>2.1.1.COSTOS INSPECCION</t>
  </si>
  <si>
    <t>2.1.1.1.OTROS  COSTOS</t>
  </si>
  <si>
    <t>Tarifa base(rango bajo)</t>
  </si>
  <si>
    <t>2.1.2.COSTOS INFORMES+REVISION ACS+REVISION PREVIA</t>
  </si>
  <si>
    <t>2.1.3.COSTOS ADMINISTRATIVOS</t>
  </si>
  <si>
    <t>2.1.4.COSTOS CERTIFICACION</t>
  </si>
  <si>
    <t>NACIONAL</t>
  </si>
  <si>
    <t xml:space="preserve">Evaluador </t>
  </si>
  <si>
    <t>7.  Tarifas  certificacion S&amp;D</t>
  </si>
  <si>
    <t>8. Tarifas  certificacion.GG+ADDON</t>
  </si>
  <si>
    <t>1. COSTOS INSPECCION+CERTIFICACION</t>
  </si>
  <si>
    <t>GG+ADD-ON</t>
  </si>
  <si>
    <t>1.2.OTROS  COSTOS</t>
  </si>
  <si>
    <t xml:space="preserve">TOTAL  GASTOS </t>
  </si>
  <si>
    <t>1.3.COSTOS ADMINISTRATIVOS</t>
  </si>
  <si>
    <t>2.COSTOS INFORMES+REVISION ACS+REVISION PREVIA</t>
  </si>
  <si>
    <t xml:space="preserve">TOTAL COSTOS </t>
  </si>
  <si>
    <t>3.COSTOS CERTIFICACION</t>
  </si>
  <si>
    <t>GlobalGAP I</t>
  </si>
  <si>
    <t>250 Euros(LSA)</t>
  </si>
  <si>
    <t>GlobalGAP II</t>
  </si>
  <si>
    <t>350 Euros(LSA)</t>
  </si>
  <si>
    <t xml:space="preserve">GlobalGAP II SEGUIMIENTO </t>
  </si>
  <si>
    <t>300 Euros(LSA)</t>
  </si>
  <si>
    <t>GRASP ,LEAF</t>
  </si>
  <si>
    <t>150 Euros(LSA)</t>
  </si>
  <si>
    <t>GLOBALGAP+GRASP</t>
  </si>
  <si>
    <t>GLOBALGAP+GRASP+FSMA</t>
  </si>
  <si>
    <t>450 Euros(LSA)</t>
  </si>
  <si>
    <t>Grasp</t>
  </si>
  <si>
    <t>GlobalGAP + Grasp</t>
  </si>
  <si>
    <t>$ 529.000 - $1'675.000</t>
  </si>
  <si>
    <t>10.Tarifas certificacion ISCC</t>
  </si>
  <si>
    <t>ISCC</t>
  </si>
  <si>
    <t>Licencia con ISCC</t>
  </si>
  <si>
    <t>TOTAL COSTOS</t>
  </si>
  <si>
    <t>SCC</t>
  </si>
  <si>
    <t>Certificador</t>
  </si>
  <si>
    <t>4.COSTOS ADMINISTRATIVOS</t>
  </si>
  <si>
    <t>11. Tarifas IFS+BRC</t>
  </si>
  <si>
    <t>IFS+BRC</t>
  </si>
  <si>
    <t xml:space="preserve">Inspector inter Nacional </t>
  </si>
  <si>
    <t>1 dia Labor (450 USD)</t>
  </si>
  <si>
    <t>1.1.2.COSTOS INFORMES+REVISION ACS+REVISION PREVIA</t>
  </si>
  <si>
    <t xml:space="preserve">IFS </t>
  </si>
  <si>
    <t>LSA ES(375 UE)</t>
  </si>
  <si>
    <t>BRC</t>
  </si>
  <si>
    <t>Versión: 3</t>
  </si>
  <si>
    <t>Fecha: Febrero-24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</si>
</sst>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_-[$$-240A]* #,##0_-;\-[$$-240A]* #,##0_-;_-[$$-240A]* &quot;-&quot;??_-;_-@_-"/>
    <numFmt numFmtId="166" formatCode="_-[$$-240A]* #,##0.00_-;\-[$$-240A]* #,##0.00_-;_-[$$-240A]* &quot;-&quot;??_-;_-@_-"/>
    <numFmt numFmtId="167" formatCode="0.0"/>
    <numFmt numFmtId="168" formatCode="[$$-240A]\ #,##0;\-[$$-240A]\ #,##0"/>
  </numFmts>
  <fonts count="33" x14ac:knownFonts="1">
    <font>
      <sz val="10"/>
      <name val="Arial"/>
    </font>
    <font>
      <b/>
      <sz val="12"/>
      <name val="Arial Nova"/>
      <family val="2"/>
    </font>
    <font>
      <sz val="10"/>
      <name val="Arial Nova"/>
      <family val="2"/>
    </font>
    <font>
      <b/>
      <sz val="10"/>
      <name val="Arial Nova"/>
      <family val="2"/>
    </font>
    <font>
      <i/>
      <sz val="10"/>
      <name val="Arial Nova"/>
      <family val="2"/>
    </font>
    <font>
      <sz val="10"/>
      <name val="Arial"/>
      <family val="2"/>
    </font>
    <font>
      <sz val="10"/>
      <color rgb="FFFF0000"/>
      <name val="Arial Nova"/>
      <family val="2"/>
    </font>
    <font>
      <b/>
      <sz val="10"/>
      <color rgb="FFFF0000"/>
      <name val="Arial Nova"/>
      <family val="2"/>
    </font>
    <font>
      <sz val="10"/>
      <color theme="1"/>
      <name val="Arial Nova"/>
      <family val="2"/>
    </font>
    <font>
      <i/>
      <sz val="10"/>
      <color theme="1"/>
      <name val="Arial Nova"/>
      <family val="2"/>
    </font>
    <font>
      <b/>
      <sz val="11"/>
      <name val="Arial Nova"/>
      <family val="2"/>
    </font>
    <font>
      <b/>
      <u val="singleAccounting"/>
      <sz val="11"/>
      <color rgb="FFFF0000"/>
      <name val="Arial Nova"/>
      <family val="2"/>
    </font>
    <font>
      <sz val="8"/>
      <name val="Arial Nova"/>
      <family val="2"/>
    </font>
    <font>
      <b/>
      <sz val="9"/>
      <color rgb="FF000000"/>
      <name val="Arial Nova"/>
      <family val="2"/>
    </font>
    <font>
      <sz val="11"/>
      <color theme="1"/>
      <name val="Trebuchet MS"/>
      <family val="2"/>
    </font>
    <font>
      <b/>
      <sz val="11"/>
      <color theme="1"/>
      <name val="Trebuchet MS"/>
      <family val="2"/>
    </font>
    <font>
      <b/>
      <sz val="9"/>
      <color indexed="81"/>
      <name val="Tahoma"/>
      <family val="2"/>
    </font>
    <font>
      <sz val="9"/>
      <color indexed="81"/>
      <name val="Tahoma"/>
      <family val="2"/>
    </font>
    <font>
      <b/>
      <sz val="10"/>
      <color theme="1"/>
      <name val="Trebuchet MS"/>
      <family val="2"/>
    </font>
    <font>
      <sz val="9"/>
      <name val="Abadi"/>
      <family val="2"/>
    </font>
    <font>
      <b/>
      <sz val="9"/>
      <name val="Abadi"/>
      <family val="2"/>
    </font>
    <font>
      <sz val="9"/>
      <name val="Arial"/>
      <family val="2"/>
    </font>
    <font>
      <b/>
      <u val="singleAccounting"/>
      <sz val="9"/>
      <color rgb="FFFF0000"/>
      <name val="Arial"/>
      <family val="2"/>
    </font>
    <font>
      <b/>
      <sz val="9"/>
      <name val="Arial"/>
      <family val="2"/>
    </font>
    <font>
      <i/>
      <sz val="9"/>
      <color theme="1"/>
      <name val="Arial"/>
      <family val="2"/>
    </font>
    <font>
      <sz val="9"/>
      <color theme="1"/>
      <name val="Arial"/>
      <family val="2"/>
    </font>
    <font>
      <i/>
      <sz val="9"/>
      <name val="Arial"/>
      <family val="2"/>
    </font>
    <font>
      <sz val="9"/>
      <color rgb="FFFF0000"/>
      <name val="Arial"/>
      <family val="2"/>
    </font>
    <font>
      <b/>
      <sz val="9"/>
      <color rgb="FFFF0000"/>
      <name val="Arial"/>
      <family val="2"/>
    </font>
    <font>
      <i/>
      <sz val="9"/>
      <color rgb="FFFF0000"/>
      <name val="Arial"/>
      <family val="2"/>
    </font>
    <font>
      <b/>
      <sz val="9"/>
      <color theme="1"/>
      <name val="Arial"/>
      <family val="2"/>
    </font>
    <font>
      <b/>
      <sz val="9"/>
      <color rgb="FF000000"/>
      <name val="Arial"/>
      <family val="2"/>
    </font>
    <font>
      <sz val="9"/>
      <name val="Arial Nova"/>
      <family val="2"/>
    </font>
  </fonts>
  <fills count="13">
    <fill>
      <patternFill patternType="none"/>
    </fill>
    <fill>
      <patternFill patternType="gray125"/>
    </fill>
    <fill>
      <patternFill patternType="solid">
        <fgColor theme="8"/>
        <bgColor indexed="64"/>
      </patternFill>
    </fill>
    <fill>
      <patternFill patternType="solid">
        <fgColor theme="3" tint="0.79998168889431442"/>
        <bgColor indexed="64"/>
      </patternFill>
    </fill>
    <fill>
      <patternFill patternType="solid">
        <fgColor theme="2"/>
        <bgColor indexed="64"/>
      </patternFill>
    </fill>
    <fill>
      <patternFill patternType="solid">
        <fgColor theme="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00000"/>
        <bgColor indexed="64"/>
      </patternFill>
    </fill>
    <fill>
      <patternFill patternType="solid">
        <fgColor rgb="FF9999FF"/>
        <bgColor indexed="64"/>
      </patternFill>
    </fill>
    <fill>
      <patternFill patternType="solid">
        <fgColor rgb="FF7030A0"/>
        <bgColor indexed="64"/>
      </patternFill>
    </fill>
    <fill>
      <patternFill patternType="solid">
        <fgColor theme="6"/>
        <bgColor indexed="64"/>
      </patternFill>
    </fill>
    <fill>
      <patternFill patternType="solid">
        <fgColor rgb="FFFF99FF"/>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165" fontId="0" fillId="0" borderId="0"/>
    <xf numFmtId="165" fontId="5" fillId="0" borderId="0"/>
  </cellStyleXfs>
  <cellXfs count="331">
    <xf numFmtId="165" fontId="0" fillId="0" borderId="0" xfId="0"/>
    <xf numFmtId="165" fontId="2" fillId="0" borderId="0" xfId="0" applyFont="1"/>
    <xf numFmtId="165" fontId="3" fillId="2" borderId="4" xfId="0" applyFont="1" applyFill="1" applyBorder="1"/>
    <xf numFmtId="165" fontId="3" fillId="2" borderId="4" xfId="0" applyFont="1" applyFill="1" applyBorder="1" applyAlignment="1">
      <alignment horizontal="center"/>
    </xf>
    <xf numFmtId="164" fontId="3" fillId="2" borderId="4" xfId="0" applyNumberFormat="1" applyFont="1" applyFill="1" applyBorder="1" applyAlignment="1">
      <alignment horizontal="center"/>
    </xf>
    <xf numFmtId="165" fontId="2" fillId="0" borderId="5" xfId="0" applyFont="1" applyBorder="1"/>
    <xf numFmtId="165" fontId="2" fillId="0" borderId="5" xfId="0" applyFont="1" applyBorder="1" applyAlignment="1">
      <alignment horizontal="center"/>
    </xf>
    <xf numFmtId="164" fontId="2" fillId="0" borderId="5" xfId="0" applyNumberFormat="1" applyFont="1" applyBorder="1"/>
    <xf numFmtId="165" fontId="4" fillId="0" borderId="4" xfId="0" applyFont="1" applyBorder="1"/>
    <xf numFmtId="165" fontId="2" fillId="0" borderId="4" xfId="0" applyFont="1" applyBorder="1" applyAlignment="1">
      <alignment horizontal="center"/>
    </xf>
    <xf numFmtId="165" fontId="2" fillId="0" borderId="4" xfId="0" applyFont="1" applyBorder="1"/>
    <xf numFmtId="164" fontId="2" fillId="0" borderId="4" xfId="0" applyNumberFormat="1" applyFont="1" applyBorder="1"/>
    <xf numFmtId="165" fontId="4" fillId="0" borderId="5" xfId="0" applyFont="1" applyBorder="1"/>
    <xf numFmtId="165" fontId="4" fillId="0" borderId="0" xfId="0" applyFont="1"/>
    <xf numFmtId="165" fontId="2" fillId="0" borderId="5" xfId="0" applyFont="1" applyBorder="1" applyAlignment="1">
      <alignment horizontal="left"/>
    </xf>
    <xf numFmtId="165" fontId="2" fillId="0" borderId="0" xfId="1" applyFont="1"/>
    <xf numFmtId="164" fontId="2" fillId="0" borderId="0" xfId="1" applyNumberFormat="1" applyFont="1"/>
    <xf numFmtId="165" fontId="2" fillId="0" borderId="5" xfId="1" applyFont="1" applyBorder="1" applyAlignment="1">
      <alignment horizontal="center"/>
    </xf>
    <xf numFmtId="165" fontId="2" fillId="0" borderId="5" xfId="1" applyFont="1" applyBorder="1"/>
    <xf numFmtId="164" fontId="2" fillId="0" borderId="5" xfId="1" applyNumberFormat="1" applyFont="1" applyBorder="1"/>
    <xf numFmtId="165" fontId="4" fillId="0" borderId="0" xfId="1" applyFont="1"/>
    <xf numFmtId="165" fontId="3" fillId="2" borderId="4" xfId="1" applyFont="1" applyFill="1" applyBorder="1"/>
    <xf numFmtId="164" fontId="3" fillId="2" borderId="4" xfId="1" applyNumberFormat="1" applyFont="1" applyFill="1" applyBorder="1" applyAlignment="1">
      <alignment horizontal="center"/>
    </xf>
    <xf numFmtId="165" fontId="3" fillId="2" borderId="4" xfId="1" applyFont="1" applyFill="1" applyBorder="1" applyAlignment="1">
      <alignment horizontal="center"/>
    </xf>
    <xf numFmtId="165" fontId="4" fillId="0" borderId="4" xfId="0" quotePrefix="1" applyFont="1" applyBorder="1" applyAlignment="1">
      <alignment horizontal="center"/>
    </xf>
    <xf numFmtId="165" fontId="2" fillId="0" borderId="5" xfId="0" quotePrefix="1" applyFont="1" applyBorder="1" applyAlignment="1">
      <alignment horizontal="center"/>
    </xf>
    <xf numFmtId="165" fontId="6" fillId="0" borderId="0" xfId="0" applyFont="1"/>
    <xf numFmtId="165" fontId="9" fillId="0" borderId="5" xfId="1" applyFont="1" applyBorder="1"/>
    <xf numFmtId="165" fontId="8" fillId="0" borderId="5" xfId="1" quotePrefix="1" applyFont="1" applyBorder="1" applyAlignment="1">
      <alignment horizontal="center"/>
    </xf>
    <xf numFmtId="165" fontId="4" fillId="3" borderId="4" xfId="0" applyFont="1" applyFill="1" applyBorder="1"/>
    <xf numFmtId="165" fontId="6" fillId="3" borderId="4" xfId="0" applyFont="1" applyFill="1" applyBorder="1"/>
    <xf numFmtId="164" fontId="6" fillId="3" borderId="5" xfId="0" applyNumberFormat="1" applyFont="1" applyFill="1" applyBorder="1"/>
    <xf numFmtId="165" fontId="6" fillId="3" borderId="5" xfId="0" applyFont="1" applyFill="1" applyBorder="1"/>
    <xf numFmtId="165" fontId="6" fillId="3" borderId="5" xfId="0" quotePrefix="1" applyFont="1" applyFill="1" applyBorder="1" applyAlignment="1">
      <alignment horizontal="center"/>
    </xf>
    <xf numFmtId="165" fontId="2" fillId="3" borderId="5" xfId="0" applyFont="1" applyFill="1" applyBorder="1"/>
    <xf numFmtId="164" fontId="2" fillId="3" borderId="5" xfId="0" applyNumberFormat="1" applyFont="1" applyFill="1" applyBorder="1"/>
    <xf numFmtId="165" fontId="13" fillId="0" borderId="10" xfId="0" applyFont="1" applyBorder="1" applyAlignment="1">
      <alignment horizontal="center" vertical="center" wrapText="1"/>
    </xf>
    <xf numFmtId="165" fontId="13" fillId="0" borderId="12" xfId="0" applyFont="1" applyBorder="1" applyAlignment="1">
      <alignment horizontal="center" vertical="center" wrapText="1"/>
    </xf>
    <xf numFmtId="165" fontId="2" fillId="3" borderId="23" xfId="0" applyFont="1" applyFill="1" applyBorder="1"/>
    <xf numFmtId="165" fontId="3" fillId="2" borderId="4" xfId="0" applyFont="1" applyFill="1" applyBorder="1" applyAlignment="1">
      <alignment horizontal="left"/>
    </xf>
    <xf numFmtId="165" fontId="2" fillId="4" borderId="4" xfId="0" applyFont="1" applyFill="1" applyBorder="1"/>
    <xf numFmtId="165" fontId="2" fillId="4" borderId="4" xfId="0" quotePrefix="1" applyFont="1" applyFill="1" applyBorder="1" applyAlignment="1">
      <alignment horizontal="center"/>
    </xf>
    <xf numFmtId="165" fontId="7" fillId="4" borderId="4" xfId="0" applyFont="1" applyFill="1" applyBorder="1" applyAlignment="1">
      <alignment horizontal="right"/>
    </xf>
    <xf numFmtId="165" fontId="6" fillId="4" borderId="4" xfId="0" applyFont="1" applyFill="1" applyBorder="1"/>
    <xf numFmtId="165" fontId="6" fillId="4" borderId="4" xfId="0" quotePrefix="1" applyFont="1" applyFill="1" applyBorder="1" applyAlignment="1">
      <alignment horizontal="center"/>
    </xf>
    <xf numFmtId="166" fontId="2" fillId="0" borderId="5" xfId="1" applyNumberFormat="1" applyFont="1" applyBorder="1"/>
    <xf numFmtId="165" fontId="7" fillId="4" borderId="4" xfId="0" applyFont="1" applyFill="1" applyBorder="1"/>
    <xf numFmtId="165" fontId="7" fillId="4" borderId="4" xfId="0" quotePrefix="1" applyFont="1" applyFill="1" applyBorder="1" applyAlignment="1">
      <alignment horizontal="center"/>
    </xf>
    <xf numFmtId="164" fontId="2" fillId="4" borderId="5" xfId="0" applyNumberFormat="1" applyFont="1" applyFill="1" applyBorder="1"/>
    <xf numFmtId="165" fontId="2" fillId="4" borderId="5" xfId="0" applyFont="1" applyFill="1" applyBorder="1"/>
    <xf numFmtId="165" fontId="2" fillId="4" borderId="4" xfId="0" applyFont="1" applyFill="1" applyBorder="1" applyAlignment="1">
      <alignment horizontal="right"/>
    </xf>
    <xf numFmtId="165" fontId="0" fillId="0" borderId="0" xfId="0" applyAlignment="1">
      <alignment horizontal="center"/>
    </xf>
    <xf numFmtId="165" fontId="14" fillId="0" borderId="0" xfId="0" applyFont="1"/>
    <xf numFmtId="165" fontId="14" fillId="0" borderId="5" xfId="0" applyFont="1" applyBorder="1"/>
    <xf numFmtId="2" fontId="14" fillId="0" borderId="0" xfId="0" applyNumberFormat="1" applyFont="1"/>
    <xf numFmtId="1" fontId="14" fillId="0" borderId="5" xfId="0" applyNumberFormat="1" applyFont="1" applyBorder="1"/>
    <xf numFmtId="165" fontId="14" fillId="7" borderId="1" xfId="0" applyFont="1" applyFill="1" applyBorder="1"/>
    <xf numFmtId="165" fontId="14" fillId="7" borderId="2" xfId="0" applyFont="1" applyFill="1" applyBorder="1"/>
    <xf numFmtId="165" fontId="14" fillId="7" borderId="3" xfId="0" applyFont="1" applyFill="1" applyBorder="1"/>
    <xf numFmtId="165" fontId="14" fillId="0" borderId="23" xfId="0" applyFont="1" applyBorder="1"/>
    <xf numFmtId="165" fontId="15" fillId="7" borderId="5" xfId="0" applyFont="1" applyFill="1" applyBorder="1"/>
    <xf numFmtId="165" fontId="15" fillId="7" borderId="5" xfId="0" applyFont="1" applyFill="1" applyBorder="1" applyAlignment="1">
      <alignment horizontal="center"/>
    </xf>
    <xf numFmtId="165" fontId="18" fillId="7" borderId="5" xfId="0" applyFont="1" applyFill="1" applyBorder="1" applyAlignment="1">
      <alignment horizontal="center"/>
    </xf>
    <xf numFmtId="0" fontId="14" fillId="0" borderId="5" xfId="0" applyNumberFormat="1" applyFont="1" applyBorder="1" applyAlignment="1">
      <alignment horizontal="center"/>
    </xf>
    <xf numFmtId="165" fontId="10" fillId="2" borderId="4" xfId="1" applyFont="1" applyFill="1" applyBorder="1"/>
    <xf numFmtId="165" fontId="10" fillId="2" borderId="4" xfId="1" applyFont="1" applyFill="1" applyBorder="1" applyAlignment="1">
      <alignment horizontal="center"/>
    </xf>
    <xf numFmtId="164" fontId="10" fillId="2" borderId="4" xfId="1" applyNumberFormat="1" applyFont="1" applyFill="1" applyBorder="1" applyAlignment="1">
      <alignment horizontal="center"/>
    </xf>
    <xf numFmtId="165" fontId="1" fillId="2" borderId="4" xfId="0" applyFont="1" applyFill="1" applyBorder="1" applyAlignment="1">
      <alignment horizontal="left"/>
    </xf>
    <xf numFmtId="165" fontId="3" fillId="0" borderId="4" xfId="1" applyFont="1" applyBorder="1"/>
    <xf numFmtId="165" fontId="2" fillId="0" borderId="4" xfId="0" quotePrefix="1" applyFont="1" applyBorder="1" applyAlignment="1">
      <alignment horizontal="center"/>
    </xf>
    <xf numFmtId="165" fontId="2" fillId="0" borderId="4" xfId="0" applyFont="1" applyBorder="1" applyAlignment="1">
      <alignment horizontal="right"/>
    </xf>
    <xf numFmtId="165" fontId="1" fillId="0" borderId="16" xfId="1" applyFont="1" applyBorder="1" applyAlignment="1">
      <alignment horizontal="center"/>
    </xf>
    <xf numFmtId="165" fontId="10" fillId="0" borderId="16" xfId="1" applyFont="1" applyBorder="1" applyAlignment="1">
      <alignment horizontal="center" wrapText="1"/>
    </xf>
    <xf numFmtId="164" fontId="1" fillId="0" borderId="16" xfId="1" applyNumberFormat="1" applyFont="1" applyBorder="1" applyAlignment="1">
      <alignment horizontal="center"/>
    </xf>
    <xf numFmtId="165" fontId="1" fillId="0" borderId="17" xfId="1" applyFont="1" applyBorder="1" applyAlignment="1">
      <alignment horizontal="center"/>
    </xf>
    <xf numFmtId="165" fontId="10" fillId="2" borderId="5" xfId="0" applyFont="1" applyFill="1" applyBorder="1"/>
    <xf numFmtId="165" fontId="2" fillId="2" borderId="5" xfId="1" applyFont="1" applyFill="1" applyBorder="1"/>
    <xf numFmtId="165" fontId="10" fillId="0" borderId="34" xfId="0" applyFont="1" applyBorder="1"/>
    <xf numFmtId="165" fontId="2" fillId="2" borderId="5" xfId="1" applyFont="1" applyFill="1" applyBorder="1" applyAlignment="1">
      <alignment horizontal="center"/>
    </xf>
    <xf numFmtId="165" fontId="2" fillId="0" borderId="4" xfId="1" applyFont="1" applyBorder="1"/>
    <xf numFmtId="165" fontId="2" fillId="0" borderId="0" xfId="0" applyFont="1" applyAlignment="1">
      <alignment horizontal="left"/>
    </xf>
    <xf numFmtId="165" fontId="2" fillId="0" borderId="0" xfId="1" applyFont="1" applyAlignment="1">
      <alignment horizontal="center"/>
    </xf>
    <xf numFmtId="164" fontId="2" fillId="0" borderId="0" xfId="1" applyNumberFormat="1" applyFont="1" applyAlignment="1">
      <alignment horizontal="center"/>
    </xf>
    <xf numFmtId="165" fontId="10" fillId="8" borderId="7" xfId="0" applyFont="1" applyFill="1" applyBorder="1" applyAlignment="1">
      <alignment horizontal="center" vertical="top"/>
    </xf>
    <xf numFmtId="164" fontId="2" fillId="0" borderId="4" xfId="1" applyNumberFormat="1" applyFont="1" applyBorder="1"/>
    <xf numFmtId="164" fontId="6" fillId="4" borderId="4" xfId="1" applyNumberFormat="1" applyFont="1" applyFill="1" applyBorder="1"/>
    <xf numFmtId="165" fontId="6" fillId="4" borderId="4" xfId="1" applyFont="1" applyFill="1" applyBorder="1"/>
    <xf numFmtId="165" fontId="10" fillId="2" borderId="7" xfId="0" applyFont="1" applyFill="1" applyBorder="1" applyAlignment="1">
      <alignment horizontal="center" vertical="top"/>
    </xf>
    <xf numFmtId="165" fontId="1" fillId="0" borderId="5" xfId="1" applyFont="1" applyBorder="1" applyAlignment="1">
      <alignment horizontal="center"/>
    </xf>
    <xf numFmtId="165" fontId="10" fillId="0" borderId="5" xfId="1" applyFont="1" applyBorder="1" applyAlignment="1">
      <alignment horizontal="center" wrapText="1"/>
    </xf>
    <xf numFmtId="164" fontId="1" fillId="0" borderId="5" xfId="1" applyNumberFormat="1" applyFont="1" applyBorder="1" applyAlignment="1">
      <alignment horizontal="center"/>
    </xf>
    <xf numFmtId="165" fontId="2" fillId="0" borderId="4" xfId="1" applyFont="1" applyBorder="1" applyAlignment="1">
      <alignment horizontal="center"/>
    </xf>
    <xf numFmtId="164" fontId="2" fillId="0" borderId="4" xfId="1" applyNumberFormat="1" applyFont="1" applyBorder="1" applyAlignment="1">
      <alignment horizontal="center"/>
    </xf>
    <xf numFmtId="165" fontId="2" fillId="0" borderId="5" xfId="0" applyFont="1" applyBorder="1" applyAlignment="1">
      <alignment horizontal="left" wrapText="1"/>
    </xf>
    <xf numFmtId="165" fontId="4" fillId="0" borderId="5" xfId="1" applyFont="1" applyBorder="1"/>
    <xf numFmtId="165" fontId="19" fillId="0" borderId="0" xfId="0" applyFont="1"/>
    <xf numFmtId="165" fontId="23" fillId="0" borderId="34" xfId="0" applyFont="1" applyBorder="1"/>
    <xf numFmtId="165" fontId="23" fillId="0" borderId="16" xfId="1" applyFont="1" applyBorder="1" applyAlignment="1">
      <alignment horizontal="center"/>
    </xf>
    <xf numFmtId="165" fontId="23" fillId="0" borderId="16" xfId="1" applyFont="1" applyBorder="1" applyAlignment="1">
      <alignment horizontal="center" wrapText="1"/>
    </xf>
    <xf numFmtId="164" fontId="23" fillId="0" borderId="16" xfId="1" applyNumberFormat="1" applyFont="1" applyBorder="1" applyAlignment="1">
      <alignment horizontal="center"/>
    </xf>
    <xf numFmtId="165" fontId="23" fillId="0" borderId="17" xfId="1" applyFont="1" applyBorder="1" applyAlignment="1">
      <alignment horizontal="center"/>
    </xf>
    <xf numFmtId="165" fontId="23" fillId="12" borderId="5" xfId="0" applyFont="1" applyFill="1" applyBorder="1"/>
    <xf numFmtId="165" fontId="21" fillId="12" borderId="5" xfId="1" applyFont="1" applyFill="1" applyBorder="1" applyAlignment="1">
      <alignment horizontal="center"/>
    </xf>
    <xf numFmtId="165" fontId="21" fillId="12" borderId="5" xfId="1" applyFont="1" applyFill="1" applyBorder="1"/>
    <xf numFmtId="165" fontId="23" fillId="0" borderId="4" xfId="1" applyFont="1" applyBorder="1"/>
    <xf numFmtId="165" fontId="21" fillId="0" borderId="0" xfId="1" applyFont="1"/>
    <xf numFmtId="164" fontId="21" fillId="0" borderId="0" xfId="1" applyNumberFormat="1" applyFont="1"/>
    <xf numFmtId="165" fontId="21" fillId="0" borderId="5" xfId="1" applyFont="1" applyBorder="1"/>
    <xf numFmtId="165" fontId="21" fillId="0" borderId="5" xfId="1" applyFont="1" applyBorder="1" applyAlignment="1">
      <alignment horizontal="center" wrapText="1"/>
    </xf>
    <xf numFmtId="164" fontId="21" fillId="0" borderId="5" xfId="1" applyNumberFormat="1" applyFont="1" applyBorder="1"/>
    <xf numFmtId="165" fontId="21" fillId="0" borderId="5" xfId="1" applyFont="1" applyBorder="1" applyAlignment="1">
      <alignment horizontal="center"/>
    </xf>
    <xf numFmtId="165" fontId="24" fillId="0" borderId="5" xfId="1" applyFont="1" applyBorder="1"/>
    <xf numFmtId="165" fontId="25" fillId="0" borderId="5" xfId="1" quotePrefix="1" applyFont="1" applyBorder="1" applyAlignment="1">
      <alignment horizontal="center"/>
    </xf>
    <xf numFmtId="165" fontId="23" fillId="12" borderId="4" xfId="0" applyFont="1" applyFill="1" applyBorder="1" applyAlignment="1">
      <alignment horizontal="left"/>
    </xf>
    <xf numFmtId="165" fontId="23" fillId="12" borderId="4" xfId="0" applyFont="1" applyFill="1" applyBorder="1" applyAlignment="1">
      <alignment horizontal="center"/>
    </xf>
    <xf numFmtId="164" fontId="23" fillId="12" borderId="4" xfId="0" applyNumberFormat="1" applyFont="1" applyFill="1" applyBorder="1" applyAlignment="1">
      <alignment horizontal="center"/>
    </xf>
    <xf numFmtId="165" fontId="23" fillId="12" borderId="4" xfId="0" applyFont="1" applyFill="1" applyBorder="1"/>
    <xf numFmtId="165" fontId="21" fillId="0" borderId="4" xfId="0" applyFont="1" applyBorder="1"/>
    <xf numFmtId="165" fontId="21" fillId="0" borderId="4" xfId="0" applyFont="1" applyBorder="1" applyAlignment="1">
      <alignment horizontal="center"/>
    </xf>
    <xf numFmtId="166" fontId="21" fillId="0" borderId="5" xfId="1" applyNumberFormat="1" applyFont="1" applyBorder="1"/>
    <xf numFmtId="165" fontId="26" fillId="0" borderId="4" xfId="0" applyFont="1" applyBorder="1"/>
    <xf numFmtId="165" fontId="26" fillId="0" borderId="4" xfId="0" quotePrefix="1" applyFont="1" applyBorder="1" applyAlignment="1">
      <alignment horizontal="center"/>
    </xf>
    <xf numFmtId="164" fontId="21" fillId="0" borderId="4" xfId="0" applyNumberFormat="1" applyFont="1" applyBorder="1"/>
    <xf numFmtId="165" fontId="27" fillId="3" borderId="4" xfId="0" applyFont="1" applyFill="1" applyBorder="1"/>
    <xf numFmtId="165" fontId="27" fillId="3" borderId="4" xfId="0" quotePrefix="1" applyFont="1" applyFill="1" applyBorder="1" applyAlignment="1">
      <alignment horizontal="center"/>
    </xf>
    <xf numFmtId="165" fontId="27" fillId="3" borderId="4" xfId="0" applyFont="1" applyFill="1" applyBorder="1" applyAlignment="1">
      <alignment horizontal="right"/>
    </xf>
    <xf numFmtId="164" fontId="27" fillId="3" borderId="4" xfId="0" applyNumberFormat="1" applyFont="1" applyFill="1" applyBorder="1"/>
    <xf numFmtId="165" fontId="26" fillId="3" borderId="4" xfId="0" applyFont="1" applyFill="1" applyBorder="1"/>
    <xf numFmtId="165" fontId="26" fillId="3" borderId="4" xfId="0" quotePrefix="1" applyFont="1" applyFill="1" applyBorder="1" applyAlignment="1">
      <alignment horizontal="center"/>
    </xf>
    <xf numFmtId="165" fontId="26" fillId="3" borderId="4" xfId="0" applyFont="1" applyFill="1" applyBorder="1" applyAlignment="1">
      <alignment horizontal="right"/>
    </xf>
    <xf numFmtId="164" fontId="26" fillId="3" borderId="4" xfId="0" applyNumberFormat="1" applyFont="1" applyFill="1" applyBorder="1"/>
    <xf numFmtId="165" fontId="26" fillId="3" borderId="22" xfId="0" applyFont="1" applyFill="1" applyBorder="1"/>
    <xf numFmtId="164" fontId="21" fillId="0" borderId="5" xfId="0" applyNumberFormat="1" applyFont="1" applyBorder="1"/>
    <xf numFmtId="165" fontId="21" fillId="0" borderId="5" xfId="0" applyFont="1" applyBorder="1"/>
    <xf numFmtId="165" fontId="26" fillId="0" borderId="5" xfId="0" applyFont="1" applyBorder="1"/>
    <xf numFmtId="165" fontId="21" fillId="0" borderId="5" xfId="0" quotePrefix="1" applyFont="1" applyBorder="1" applyAlignment="1">
      <alignment horizontal="center"/>
    </xf>
    <xf numFmtId="164" fontId="27" fillId="3" borderId="5" xfId="0" applyNumberFormat="1" applyFont="1" applyFill="1" applyBorder="1"/>
    <xf numFmtId="165" fontId="27" fillId="3" borderId="5" xfId="0" applyFont="1" applyFill="1" applyBorder="1"/>
    <xf numFmtId="164" fontId="26" fillId="3" borderId="5" xfId="0" applyNumberFormat="1" applyFont="1" applyFill="1" applyBorder="1"/>
    <xf numFmtId="165" fontId="26" fillId="3" borderId="23" xfId="0" applyFont="1" applyFill="1" applyBorder="1"/>
    <xf numFmtId="165" fontId="23" fillId="12" borderId="4" xfId="1" applyFont="1" applyFill="1" applyBorder="1" applyAlignment="1">
      <alignment horizontal="center"/>
    </xf>
    <xf numFmtId="164" fontId="23" fillId="12" borderId="4" xfId="1" applyNumberFormat="1" applyFont="1" applyFill="1" applyBorder="1" applyAlignment="1">
      <alignment horizontal="center"/>
    </xf>
    <xf numFmtId="165" fontId="23" fillId="12" borderId="4" xfId="1" applyFont="1" applyFill="1" applyBorder="1"/>
    <xf numFmtId="165" fontId="21" fillId="0" borderId="5" xfId="0" applyFont="1" applyBorder="1" applyAlignment="1">
      <alignment horizontal="left"/>
    </xf>
    <xf numFmtId="165" fontId="21" fillId="0" borderId="5" xfId="0" applyFont="1" applyBorder="1" applyAlignment="1">
      <alignment horizontal="center"/>
    </xf>
    <xf numFmtId="165" fontId="26" fillId="0" borderId="5" xfId="1" applyFont="1" applyBorder="1"/>
    <xf numFmtId="165" fontId="26" fillId="0" borderId="5" xfId="1" quotePrefix="1" applyFont="1" applyBorder="1" applyAlignment="1">
      <alignment horizontal="center"/>
    </xf>
    <xf numFmtId="164" fontId="26" fillId="0" borderId="5" xfId="1" applyNumberFormat="1" applyFont="1" applyBorder="1"/>
    <xf numFmtId="165" fontId="27" fillId="3" borderId="5" xfId="0" quotePrefix="1" applyFont="1" applyFill="1" applyBorder="1" applyAlignment="1">
      <alignment horizontal="center"/>
    </xf>
    <xf numFmtId="165" fontId="21" fillId="3" borderId="5" xfId="0" applyFont="1" applyFill="1" applyBorder="1"/>
    <xf numFmtId="164" fontId="21" fillId="3" borderId="5" xfId="0" applyNumberFormat="1" applyFont="1" applyFill="1" applyBorder="1"/>
    <xf numFmtId="165" fontId="21" fillId="3" borderId="23" xfId="0" applyFont="1" applyFill="1" applyBorder="1"/>
    <xf numFmtId="165" fontId="23" fillId="2" borderId="4" xfId="0" applyFont="1" applyFill="1" applyBorder="1" applyAlignment="1">
      <alignment horizontal="left"/>
    </xf>
    <xf numFmtId="165" fontId="23" fillId="2" borderId="4" xfId="1" applyFont="1" applyFill="1" applyBorder="1" applyAlignment="1">
      <alignment horizontal="center"/>
    </xf>
    <xf numFmtId="164" fontId="23" fillId="2" borderId="4" xfId="1" applyNumberFormat="1" applyFont="1" applyFill="1" applyBorder="1" applyAlignment="1">
      <alignment horizontal="center"/>
    </xf>
    <xf numFmtId="165" fontId="23" fillId="2" borderId="4" xfId="1" applyFont="1" applyFill="1" applyBorder="1"/>
    <xf numFmtId="165" fontId="23" fillId="0" borderId="5" xfId="1" applyFont="1" applyBorder="1" applyAlignment="1">
      <alignment horizontal="center"/>
    </xf>
    <xf numFmtId="165" fontId="23" fillId="0" borderId="5" xfId="1" applyFont="1" applyBorder="1" applyAlignment="1">
      <alignment horizontal="center" wrapText="1"/>
    </xf>
    <xf numFmtId="164" fontId="23" fillId="0" borderId="5" xfId="1" applyNumberFormat="1" applyFont="1" applyBorder="1" applyAlignment="1">
      <alignment horizontal="center"/>
    </xf>
    <xf numFmtId="165" fontId="21" fillId="0" borderId="4" xfId="1" applyFont="1" applyBorder="1" applyAlignment="1">
      <alignment horizontal="center"/>
    </xf>
    <xf numFmtId="164" fontId="21" fillId="0" borderId="4" xfId="1" applyNumberFormat="1" applyFont="1" applyBorder="1" applyAlignment="1">
      <alignment horizontal="center"/>
    </xf>
    <xf numFmtId="165" fontId="21" fillId="0" borderId="4" xfId="1" applyFont="1" applyBorder="1"/>
    <xf numFmtId="165" fontId="21" fillId="0" borderId="0" xfId="0" applyFont="1"/>
    <xf numFmtId="165" fontId="21" fillId="0" borderId="0" xfId="0" applyFont="1" applyAlignment="1">
      <alignment horizontal="center"/>
    </xf>
    <xf numFmtId="165" fontId="23" fillId="0" borderId="1" xfId="0" applyFont="1" applyBorder="1" applyAlignment="1">
      <alignment horizontal="left"/>
    </xf>
    <xf numFmtId="165" fontId="23" fillId="0" borderId="2" xfId="0" applyFont="1" applyBorder="1" applyAlignment="1">
      <alignment horizontal="center"/>
    </xf>
    <xf numFmtId="164" fontId="23" fillId="0" borderId="2" xfId="0" applyNumberFormat="1" applyFont="1" applyBorder="1" applyAlignment="1">
      <alignment horizontal="center"/>
    </xf>
    <xf numFmtId="165" fontId="23" fillId="0" borderId="3" xfId="0" applyFont="1" applyBorder="1" applyAlignment="1">
      <alignment horizontal="center"/>
    </xf>
    <xf numFmtId="165" fontId="23" fillId="10" borderId="4" xfId="0" applyFont="1" applyFill="1" applyBorder="1"/>
    <xf numFmtId="165" fontId="23" fillId="10" borderId="4" xfId="0" applyFont="1" applyFill="1" applyBorder="1" applyAlignment="1">
      <alignment horizontal="center"/>
    </xf>
    <xf numFmtId="164" fontId="23" fillId="10" borderId="4" xfId="0" applyNumberFormat="1" applyFont="1" applyFill="1" applyBorder="1" applyAlignment="1">
      <alignment horizontal="center"/>
    </xf>
    <xf numFmtId="165" fontId="26" fillId="0" borderId="24" xfId="0" applyFont="1" applyBorder="1"/>
    <xf numFmtId="165" fontId="26" fillId="0" borderId="0" xfId="0" quotePrefix="1" applyFont="1" applyAlignment="1">
      <alignment horizontal="center"/>
    </xf>
    <xf numFmtId="165" fontId="26" fillId="0" borderId="0" xfId="0" applyFont="1"/>
    <xf numFmtId="164" fontId="26" fillId="0" borderId="5" xfId="0" applyNumberFormat="1" applyFont="1" applyBorder="1"/>
    <xf numFmtId="165" fontId="23" fillId="10" borderId="4" xfId="0" applyFont="1" applyFill="1" applyBorder="1" applyAlignment="1">
      <alignment horizontal="left"/>
    </xf>
    <xf numFmtId="165" fontId="21" fillId="0" borderId="4" xfId="0" applyFont="1" applyBorder="1" applyAlignment="1">
      <alignment horizontal="left"/>
    </xf>
    <xf numFmtId="165" fontId="27" fillId="4" borderId="4" xfId="0" applyFont="1" applyFill="1" applyBorder="1"/>
    <xf numFmtId="165" fontId="27" fillId="4" borderId="4" xfId="0" quotePrefix="1" applyFont="1" applyFill="1" applyBorder="1" applyAlignment="1">
      <alignment horizontal="center"/>
    </xf>
    <xf numFmtId="165" fontId="28" fillId="4" borderId="4" xfId="0" applyFont="1" applyFill="1" applyBorder="1" applyAlignment="1">
      <alignment horizontal="right"/>
    </xf>
    <xf numFmtId="164" fontId="27" fillId="4" borderId="5" xfId="1" applyNumberFormat="1" applyFont="1" applyFill="1" applyBorder="1"/>
    <xf numFmtId="165" fontId="27" fillId="4" borderId="5" xfId="1" applyFont="1" applyFill="1" applyBorder="1"/>
    <xf numFmtId="165" fontId="25" fillId="4" borderId="4" xfId="0" applyFont="1" applyFill="1" applyBorder="1"/>
    <xf numFmtId="165" fontId="25" fillId="4" borderId="4" xfId="0" quotePrefix="1" applyFont="1" applyFill="1" applyBorder="1" applyAlignment="1">
      <alignment horizontal="center"/>
    </xf>
    <xf numFmtId="165" fontId="21" fillId="4" borderId="4" xfId="0" applyFont="1" applyFill="1" applyBorder="1" applyAlignment="1">
      <alignment horizontal="right"/>
    </xf>
    <xf numFmtId="164" fontId="21" fillId="4" borderId="5" xfId="1" applyNumberFormat="1" applyFont="1" applyFill="1" applyBorder="1"/>
    <xf numFmtId="165" fontId="21" fillId="4" borderId="5" xfId="1" applyFont="1" applyFill="1" applyBorder="1"/>
    <xf numFmtId="165" fontId="28" fillId="4" borderId="4" xfId="0" applyFont="1" applyFill="1" applyBorder="1"/>
    <xf numFmtId="165" fontId="28" fillId="4" borderId="4" xfId="0" quotePrefix="1" applyFont="1" applyFill="1" applyBorder="1" applyAlignment="1">
      <alignment horizontal="center"/>
    </xf>
    <xf numFmtId="164" fontId="21" fillId="4" borderId="5" xfId="0" applyNumberFormat="1" applyFont="1" applyFill="1" applyBorder="1"/>
    <xf numFmtId="165" fontId="21" fillId="4" borderId="5" xfId="0" applyFont="1" applyFill="1" applyBorder="1"/>
    <xf numFmtId="165" fontId="21" fillId="4" borderId="4" xfId="0" applyFont="1" applyFill="1" applyBorder="1"/>
    <xf numFmtId="165" fontId="21" fillId="4" borderId="4" xfId="0" quotePrefix="1" applyFont="1" applyFill="1" applyBorder="1" applyAlignment="1">
      <alignment horizontal="center"/>
    </xf>
    <xf numFmtId="165" fontId="23" fillId="0" borderId="5" xfId="0" applyFont="1" applyBorder="1"/>
    <xf numFmtId="164" fontId="23" fillId="0" borderId="5" xfId="0" applyNumberFormat="1" applyFont="1" applyBorder="1"/>
    <xf numFmtId="165" fontId="25" fillId="4" borderId="4" xfId="0" applyFont="1" applyFill="1" applyBorder="1" applyAlignment="1">
      <alignment horizontal="right"/>
    </xf>
    <xf numFmtId="164" fontId="25" fillId="4" borderId="5" xfId="1" applyNumberFormat="1" applyFont="1" applyFill="1" applyBorder="1"/>
    <xf numFmtId="165" fontId="25" fillId="4" borderId="5" xfId="1" applyFont="1" applyFill="1" applyBorder="1"/>
    <xf numFmtId="165" fontId="25" fillId="4" borderId="23" xfId="1" applyFont="1" applyFill="1" applyBorder="1"/>
    <xf numFmtId="165" fontId="23" fillId="0" borderId="1" xfId="0" applyFont="1" applyBorder="1" applyAlignment="1">
      <alignment horizontal="center"/>
    </xf>
    <xf numFmtId="165" fontId="23" fillId="9" borderId="4" xfId="0" applyFont="1" applyFill="1" applyBorder="1"/>
    <xf numFmtId="165" fontId="23" fillId="9" borderId="4" xfId="0" applyFont="1" applyFill="1" applyBorder="1" applyAlignment="1">
      <alignment horizontal="center"/>
    </xf>
    <xf numFmtId="164" fontId="23" fillId="9" borderId="4" xfId="0" applyNumberFormat="1" applyFont="1" applyFill="1" applyBorder="1" applyAlignment="1">
      <alignment horizontal="center"/>
    </xf>
    <xf numFmtId="165" fontId="23" fillId="11" borderId="4" xfId="0" applyFont="1" applyFill="1" applyBorder="1"/>
    <xf numFmtId="165" fontId="23" fillId="11" borderId="4" xfId="0" applyFont="1" applyFill="1" applyBorder="1" applyAlignment="1">
      <alignment horizontal="center"/>
    </xf>
    <xf numFmtId="164" fontId="23" fillId="11" borderId="4" xfId="0" applyNumberFormat="1" applyFont="1" applyFill="1" applyBorder="1" applyAlignment="1">
      <alignment horizontal="center"/>
    </xf>
    <xf numFmtId="165" fontId="29" fillId="3" borderId="5" xfId="0" applyFont="1" applyFill="1" applyBorder="1"/>
    <xf numFmtId="165" fontId="26" fillId="3" borderId="5" xfId="0" applyFont="1" applyFill="1" applyBorder="1"/>
    <xf numFmtId="165" fontId="21" fillId="3" borderId="5" xfId="0" quotePrefix="1" applyFont="1" applyFill="1" applyBorder="1" applyAlignment="1">
      <alignment horizontal="center"/>
    </xf>
    <xf numFmtId="165" fontId="23" fillId="0" borderId="1" xfId="1" applyFont="1" applyBorder="1" applyAlignment="1">
      <alignment horizontal="left"/>
    </xf>
    <xf numFmtId="165" fontId="23" fillId="0" borderId="2" xfId="1" applyFont="1" applyBorder="1" applyAlignment="1">
      <alignment horizontal="center"/>
    </xf>
    <xf numFmtId="165" fontId="23" fillId="0" borderId="2" xfId="1" applyFont="1" applyBorder="1" applyAlignment="1">
      <alignment horizontal="center" wrapText="1"/>
    </xf>
    <xf numFmtId="164" fontId="23" fillId="0" borderId="2" xfId="1" applyNumberFormat="1" applyFont="1" applyBorder="1" applyAlignment="1">
      <alignment horizontal="center"/>
    </xf>
    <xf numFmtId="165" fontId="23" fillId="0" borderId="3" xfId="1" applyFont="1" applyBorder="1" applyAlignment="1">
      <alignment horizontal="center"/>
    </xf>
    <xf numFmtId="165" fontId="23" fillId="8" borderId="4" xfId="0" applyFont="1" applyFill="1" applyBorder="1"/>
    <xf numFmtId="165" fontId="23" fillId="8" borderId="4" xfId="0" applyFont="1" applyFill="1" applyBorder="1" applyAlignment="1">
      <alignment horizontal="center"/>
    </xf>
    <xf numFmtId="164" fontId="23" fillId="8" borderId="4" xfId="0" applyNumberFormat="1" applyFont="1" applyFill="1" applyBorder="1" applyAlignment="1">
      <alignment horizontal="center"/>
    </xf>
    <xf numFmtId="165" fontId="23" fillId="0" borderId="5" xfId="1" applyFont="1" applyBorder="1"/>
    <xf numFmtId="165" fontId="23" fillId="8" borderId="4" xfId="0" applyFont="1" applyFill="1" applyBorder="1" applyAlignment="1">
      <alignment horizontal="left"/>
    </xf>
    <xf numFmtId="165" fontId="23" fillId="8" borderId="4" xfId="1" applyFont="1" applyFill="1" applyBorder="1"/>
    <xf numFmtId="165" fontId="23" fillId="8" borderId="4" xfId="1" applyFont="1" applyFill="1" applyBorder="1" applyAlignment="1">
      <alignment horizontal="center"/>
    </xf>
    <xf numFmtId="164" fontId="23" fillId="8" borderId="4" xfId="1" applyNumberFormat="1" applyFont="1" applyFill="1" applyBorder="1" applyAlignment="1">
      <alignment horizontal="center"/>
    </xf>
    <xf numFmtId="165" fontId="27" fillId="4" borderId="5" xfId="0" applyFont="1" applyFill="1" applyBorder="1" applyAlignment="1">
      <alignment horizontal="left"/>
    </xf>
    <xf numFmtId="165" fontId="27" fillId="4" borderId="5" xfId="0" quotePrefix="1" applyFont="1" applyFill="1" applyBorder="1" applyAlignment="1">
      <alignment horizontal="center"/>
    </xf>
    <xf numFmtId="165" fontId="28" fillId="4" borderId="5" xfId="0" applyFont="1" applyFill="1" applyBorder="1"/>
    <xf numFmtId="164" fontId="27" fillId="4" borderId="5" xfId="0" applyNumberFormat="1" applyFont="1" applyFill="1" applyBorder="1"/>
    <xf numFmtId="165" fontId="27" fillId="4" borderId="5" xfId="0" applyFont="1" applyFill="1" applyBorder="1"/>
    <xf numFmtId="165" fontId="21" fillId="4" borderId="5" xfId="0" applyFont="1" applyFill="1" applyBorder="1" applyAlignment="1">
      <alignment horizontal="left"/>
    </xf>
    <xf numFmtId="165" fontId="21" fillId="4" borderId="5" xfId="0" quotePrefix="1" applyFont="1" applyFill="1" applyBorder="1" applyAlignment="1">
      <alignment horizontal="center"/>
    </xf>
    <xf numFmtId="164" fontId="25" fillId="4" borderId="5" xfId="0" applyNumberFormat="1" applyFont="1" applyFill="1" applyBorder="1"/>
    <xf numFmtId="165" fontId="25" fillId="4" borderId="5" xfId="0" applyFont="1" applyFill="1" applyBorder="1"/>
    <xf numFmtId="164" fontId="23" fillId="0" borderId="5" xfId="1" applyNumberFormat="1" applyFont="1" applyBorder="1"/>
    <xf numFmtId="165" fontId="30" fillId="7" borderId="21" xfId="0" applyFont="1" applyFill="1" applyBorder="1" applyAlignment="1">
      <alignment horizontal="center" vertical="center" wrapText="1"/>
    </xf>
    <xf numFmtId="165" fontId="30" fillId="6" borderId="12" xfId="0" applyFont="1" applyFill="1" applyBorder="1" applyAlignment="1">
      <alignment horizontal="center"/>
    </xf>
    <xf numFmtId="165" fontId="30" fillId="6" borderId="13" xfId="0" applyFont="1" applyFill="1" applyBorder="1" applyAlignment="1">
      <alignment horizontal="center"/>
    </xf>
    <xf numFmtId="165" fontId="25" fillId="0" borderId="26" xfId="0" applyFont="1" applyBorder="1" applyAlignment="1">
      <alignment vertical="center" wrapText="1"/>
    </xf>
    <xf numFmtId="165" fontId="25" fillId="0" borderId="21" xfId="0" applyFont="1" applyBorder="1" applyAlignment="1">
      <alignment horizontal="center" vertical="center" wrapText="1"/>
    </xf>
    <xf numFmtId="14" fontId="25" fillId="0" borderId="21" xfId="0" applyNumberFormat="1" applyFont="1" applyBorder="1" applyAlignment="1">
      <alignment horizontal="center" vertical="center" wrapText="1"/>
    </xf>
    <xf numFmtId="14" fontId="25" fillId="0" borderId="6" xfId="0" applyNumberFormat="1" applyFont="1" applyBorder="1" applyAlignment="1">
      <alignment horizontal="center" vertical="center" wrapText="1"/>
    </xf>
    <xf numFmtId="165" fontId="25" fillId="0" borderId="4" xfId="0" applyFont="1" applyBorder="1"/>
    <xf numFmtId="165" fontId="25" fillId="0" borderId="5" xfId="0" applyFont="1" applyBorder="1"/>
    <xf numFmtId="167" fontId="25" fillId="0" borderId="4" xfId="0" applyNumberFormat="1" applyFont="1" applyBorder="1"/>
    <xf numFmtId="167" fontId="25" fillId="0" borderId="5" xfId="0" applyNumberFormat="1" applyFont="1" applyBorder="1"/>
    <xf numFmtId="165" fontId="25" fillId="0" borderId="0" xfId="0" applyFont="1"/>
    <xf numFmtId="1" fontId="25" fillId="0" borderId="21" xfId="0" applyNumberFormat="1" applyFont="1" applyBorder="1" applyAlignment="1">
      <alignment horizontal="center" vertical="center" wrapText="1"/>
    </xf>
    <xf numFmtId="165" fontId="25" fillId="0" borderId="6" xfId="0" applyFont="1" applyBorder="1" applyAlignment="1">
      <alignment horizontal="center" vertical="center" wrapText="1"/>
    </xf>
    <xf numFmtId="165" fontId="25" fillId="6" borderId="0" xfId="0" applyFont="1" applyFill="1"/>
    <xf numFmtId="165" fontId="31" fillId="0" borderId="10" xfId="0" applyFont="1" applyBorder="1" applyAlignment="1">
      <alignment horizontal="center" vertical="center" wrapText="1"/>
    </xf>
    <xf numFmtId="165" fontId="31" fillId="0" borderId="12" xfId="0" applyFont="1" applyBorder="1" applyAlignment="1">
      <alignment horizontal="center" vertical="center" wrapText="1"/>
    </xf>
    <xf numFmtId="165" fontId="23" fillId="5" borderId="7" xfId="0" applyFont="1" applyFill="1" applyBorder="1" applyAlignment="1">
      <alignment horizontal="center" vertical="top"/>
    </xf>
    <xf numFmtId="164" fontId="21" fillId="0" borderId="0" xfId="0" applyNumberFormat="1" applyFont="1"/>
    <xf numFmtId="165" fontId="21" fillId="0" borderId="0" xfId="0" applyFont="1" applyAlignment="1">
      <alignment horizontal="center" vertical="center"/>
    </xf>
    <xf numFmtId="165" fontId="32" fillId="0" borderId="23" xfId="0" applyFont="1" applyBorder="1" applyAlignment="1">
      <alignment vertical="center"/>
    </xf>
    <xf numFmtId="165" fontId="19" fillId="0" borderId="35" xfId="0" applyFont="1" applyBorder="1"/>
    <xf numFmtId="165" fontId="19" fillId="0" borderId="36" xfId="0" applyFont="1" applyBorder="1"/>
    <xf numFmtId="165" fontId="19" fillId="0" borderId="37" xfId="0" applyFont="1" applyBorder="1"/>
    <xf numFmtId="0" fontId="19" fillId="0" borderId="0" xfId="0" applyNumberFormat="1" applyFont="1" applyAlignment="1">
      <alignment vertical="top" wrapText="1"/>
    </xf>
    <xf numFmtId="165" fontId="21" fillId="0" borderId="38" xfId="0" applyFont="1" applyBorder="1"/>
    <xf numFmtId="165" fontId="21" fillId="0" borderId="39" xfId="0" applyFont="1" applyBorder="1"/>
    <xf numFmtId="165" fontId="21" fillId="0" borderId="22" xfId="0" applyFont="1" applyBorder="1"/>
    <xf numFmtId="165" fontId="21" fillId="0" borderId="40" xfId="0" applyFont="1" applyBorder="1"/>
    <xf numFmtId="165" fontId="21" fillId="0" borderId="41" xfId="0" applyFont="1" applyBorder="1"/>
    <xf numFmtId="0" fontId="21" fillId="0" borderId="38" xfId="0" applyNumberFormat="1" applyFont="1" applyBorder="1" applyAlignment="1">
      <alignment horizontal="left" vertical="top" wrapText="1"/>
    </xf>
    <xf numFmtId="0" fontId="21" fillId="0" borderId="0" xfId="0" applyNumberFormat="1" applyFont="1" applyAlignment="1">
      <alignment horizontal="left" vertical="top" wrapText="1"/>
    </xf>
    <xf numFmtId="0" fontId="21" fillId="0" borderId="39" xfId="0" applyNumberFormat="1" applyFont="1" applyBorder="1" applyAlignment="1">
      <alignment horizontal="left" vertical="top" wrapText="1"/>
    </xf>
    <xf numFmtId="165" fontId="20" fillId="0" borderId="23" xfId="0" applyFont="1" applyBorder="1" applyAlignment="1">
      <alignment horizontal="center" vertical="center"/>
    </xf>
    <xf numFmtId="165" fontId="20" fillId="0" borderId="32" xfId="0" applyFont="1" applyBorder="1" applyAlignment="1">
      <alignment horizontal="center" vertical="center"/>
    </xf>
    <xf numFmtId="165" fontId="20" fillId="0" borderId="33" xfId="0" applyFont="1" applyBorder="1" applyAlignment="1">
      <alignment horizontal="center" vertical="center"/>
    </xf>
    <xf numFmtId="165" fontId="21" fillId="0" borderId="23" xfId="0" applyFont="1" applyBorder="1" applyAlignment="1">
      <alignment horizontal="left"/>
    </xf>
    <xf numFmtId="165" fontId="21" fillId="0" borderId="33" xfId="0" applyFont="1" applyBorder="1" applyAlignment="1">
      <alignment horizontal="left"/>
    </xf>
    <xf numFmtId="165" fontId="21" fillId="0" borderId="23" xfId="0" applyFont="1" applyBorder="1" applyAlignment="1">
      <alignment horizontal="center"/>
    </xf>
    <xf numFmtId="165" fontId="21" fillId="0" borderId="32" xfId="0" applyFont="1" applyBorder="1" applyAlignment="1">
      <alignment horizontal="center"/>
    </xf>
    <xf numFmtId="165" fontId="21" fillId="0" borderId="33" xfId="0" applyFont="1" applyBorder="1" applyAlignment="1">
      <alignment horizontal="center"/>
    </xf>
    <xf numFmtId="49" fontId="21" fillId="0" borderId="23" xfId="0" applyNumberFormat="1" applyFont="1" applyBorder="1" applyAlignment="1">
      <alignment horizontal="center"/>
    </xf>
    <xf numFmtId="49" fontId="21" fillId="0" borderId="32" xfId="0" applyNumberFormat="1" applyFont="1" applyBorder="1" applyAlignment="1">
      <alignment horizontal="center"/>
    </xf>
    <xf numFmtId="49" fontId="21" fillId="0" borderId="33" xfId="0" applyNumberFormat="1" applyFont="1" applyBorder="1" applyAlignment="1">
      <alignment horizontal="center"/>
    </xf>
    <xf numFmtId="165" fontId="22" fillId="0" borderId="0" xfId="0" applyFont="1" applyAlignment="1">
      <alignment horizontal="center" vertical="center"/>
    </xf>
    <xf numFmtId="165" fontId="23" fillId="0" borderId="0" xfId="0" applyFont="1" applyAlignment="1">
      <alignment horizontal="center" vertical="center"/>
    </xf>
    <xf numFmtId="0" fontId="21" fillId="0" borderId="15" xfId="0" applyNumberFormat="1" applyFont="1" applyBorder="1" applyAlignment="1">
      <alignment horizontal="left" vertical="top" wrapText="1"/>
    </xf>
    <xf numFmtId="0" fontId="21" fillId="0" borderId="16" xfId="0" applyNumberFormat="1" applyFont="1" applyBorder="1" applyAlignment="1">
      <alignment horizontal="left" vertical="top" wrapText="1"/>
    </xf>
    <xf numFmtId="0" fontId="21" fillId="0" borderId="17" xfId="0" applyNumberFormat="1" applyFont="1" applyBorder="1" applyAlignment="1">
      <alignment horizontal="left" vertical="top" wrapText="1"/>
    </xf>
    <xf numFmtId="0" fontId="21" fillId="0" borderId="18" xfId="0" applyNumberFormat="1" applyFont="1" applyBorder="1" applyAlignment="1">
      <alignment horizontal="left" vertical="top" wrapText="1"/>
    </xf>
    <xf numFmtId="0" fontId="21" fillId="0" borderId="19" xfId="0" applyNumberFormat="1" applyFont="1" applyBorder="1" applyAlignment="1">
      <alignment horizontal="left" vertical="top" wrapText="1"/>
    </xf>
    <xf numFmtId="0" fontId="21" fillId="0" borderId="20" xfId="0" applyNumberFormat="1" applyFont="1" applyBorder="1" applyAlignment="1">
      <alignment horizontal="left" vertical="top" wrapText="1"/>
    </xf>
    <xf numFmtId="0" fontId="21" fillId="0" borderId="6" xfId="0" applyNumberFormat="1" applyFont="1" applyBorder="1" applyAlignment="1">
      <alignment horizontal="left" vertical="top" wrapText="1"/>
    </xf>
    <xf numFmtId="0" fontId="21" fillId="0" borderId="21" xfId="0" applyNumberFormat="1" applyFont="1" applyBorder="1" applyAlignment="1">
      <alignment horizontal="left" vertical="top" wrapText="1"/>
    </xf>
    <xf numFmtId="165" fontId="21" fillId="0" borderId="15" xfId="0" applyFont="1" applyBorder="1" applyAlignment="1">
      <alignment horizontal="center"/>
    </xf>
    <xf numFmtId="165" fontId="21" fillId="0" borderId="16" xfId="0" applyFont="1" applyBorder="1" applyAlignment="1">
      <alignment horizontal="center"/>
    </xf>
    <xf numFmtId="165" fontId="21" fillId="0" borderId="17" xfId="0" applyFont="1" applyBorder="1" applyAlignment="1">
      <alignment horizontal="center"/>
    </xf>
    <xf numFmtId="165" fontId="21" fillId="0" borderId="18" xfId="0" applyFont="1" applyBorder="1" applyAlignment="1">
      <alignment horizontal="center"/>
    </xf>
    <xf numFmtId="165" fontId="21" fillId="0" borderId="0" xfId="0" applyFont="1" applyAlignment="1">
      <alignment horizontal="center"/>
    </xf>
    <xf numFmtId="165" fontId="21" fillId="0" borderId="19" xfId="0" applyFont="1" applyBorder="1" applyAlignment="1">
      <alignment horizontal="center"/>
    </xf>
    <xf numFmtId="165" fontId="21" fillId="0" borderId="20" xfId="0" applyFont="1" applyBorder="1" applyAlignment="1">
      <alignment horizontal="center"/>
    </xf>
    <xf numFmtId="165" fontId="21" fillId="0" borderId="6" xfId="0" applyFont="1" applyBorder="1" applyAlignment="1">
      <alignment horizontal="center"/>
    </xf>
    <xf numFmtId="165" fontId="21" fillId="0" borderId="21" xfId="0" applyFont="1" applyBorder="1" applyAlignment="1">
      <alignment horizontal="center"/>
    </xf>
    <xf numFmtId="168" fontId="21" fillId="0" borderId="5" xfId="0" applyNumberFormat="1" applyFont="1" applyBorder="1" applyAlignment="1">
      <alignment horizontal="center" vertical="center" wrapText="1"/>
    </xf>
    <xf numFmtId="165" fontId="28" fillId="4" borderId="1" xfId="0" applyFont="1" applyFill="1" applyBorder="1" applyAlignment="1">
      <alignment horizontal="center"/>
    </xf>
    <xf numFmtId="165" fontId="21" fillId="4" borderId="2" xfId="0" applyFont="1" applyFill="1" applyBorder="1" applyAlignment="1">
      <alignment horizontal="center"/>
    </xf>
    <xf numFmtId="165" fontId="28" fillId="0" borderId="0" xfId="0" applyFont="1" applyAlignment="1">
      <alignment horizontal="center" vertical="center"/>
    </xf>
    <xf numFmtId="165" fontId="23" fillId="5" borderId="8" xfId="0" applyFont="1" applyFill="1" applyBorder="1" applyAlignment="1">
      <alignment horizontal="center" vertical="top"/>
    </xf>
    <xf numFmtId="165" fontId="30" fillId="0" borderId="0" xfId="0" applyFont="1" applyAlignment="1">
      <alignment horizontal="center"/>
    </xf>
    <xf numFmtId="165" fontId="30" fillId="7" borderId="15" xfId="0" applyFont="1" applyFill="1" applyBorder="1" applyAlignment="1">
      <alignment horizontal="center" vertical="center" wrapText="1"/>
    </xf>
    <xf numFmtId="165" fontId="30" fillId="7" borderId="20" xfId="0" applyFont="1" applyFill="1" applyBorder="1" applyAlignment="1">
      <alignment horizontal="center" vertical="center" wrapText="1"/>
    </xf>
    <xf numFmtId="165" fontId="30" fillId="7" borderId="25" xfId="0" applyFont="1" applyFill="1" applyBorder="1" applyAlignment="1">
      <alignment horizontal="center" vertical="center" wrapText="1"/>
    </xf>
    <xf numFmtId="165" fontId="30" fillId="7" borderId="26" xfId="0" applyFont="1" applyFill="1" applyBorder="1" applyAlignment="1">
      <alignment horizontal="center" vertical="center" wrapText="1"/>
    </xf>
    <xf numFmtId="165" fontId="30" fillId="7" borderId="1" xfId="0" applyFont="1" applyFill="1" applyBorder="1" applyAlignment="1">
      <alignment horizontal="center" vertical="center" wrapText="1"/>
    </xf>
    <xf numFmtId="165" fontId="30" fillId="7" borderId="3" xfId="0" applyFont="1" applyFill="1" applyBorder="1" applyAlignment="1">
      <alignment horizontal="center" vertical="center" wrapText="1"/>
    </xf>
    <xf numFmtId="165" fontId="30" fillId="6" borderId="7" xfId="0" applyFont="1" applyFill="1" applyBorder="1" applyAlignment="1">
      <alignment horizontal="center"/>
    </xf>
    <xf numFmtId="165" fontId="30" fillId="6" borderId="8" xfId="0" applyFont="1" applyFill="1" applyBorder="1" applyAlignment="1">
      <alignment horizontal="center"/>
    </xf>
    <xf numFmtId="165" fontId="30" fillId="6" borderId="27" xfId="0" applyFont="1" applyFill="1" applyBorder="1" applyAlignment="1">
      <alignment horizontal="center" wrapText="1"/>
    </xf>
    <xf numFmtId="165" fontId="30" fillId="6" borderId="28" xfId="0" applyFont="1" applyFill="1" applyBorder="1" applyAlignment="1">
      <alignment horizontal="center" wrapText="1"/>
    </xf>
    <xf numFmtId="165" fontId="14" fillId="0" borderId="0" xfId="0" applyFont="1" applyAlignment="1">
      <alignment horizontal="center"/>
    </xf>
    <xf numFmtId="165" fontId="22" fillId="0" borderId="6" xfId="0" applyFont="1" applyBorder="1" applyAlignment="1">
      <alignment horizontal="center" vertical="center"/>
    </xf>
    <xf numFmtId="165" fontId="23" fillId="0" borderId="6" xfId="0" applyFont="1" applyBorder="1" applyAlignment="1">
      <alignment horizontal="center" vertical="center"/>
    </xf>
    <xf numFmtId="165" fontId="10" fillId="8" borderId="8" xfId="0" applyFont="1" applyFill="1" applyBorder="1" applyAlignment="1">
      <alignment horizontal="center" vertical="top"/>
    </xf>
    <xf numFmtId="165" fontId="10" fillId="8" borderId="9" xfId="0" applyFont="1" applyFill="1" applyBorder="1" applyAlignment="1">
      <alignment horizontal="center" vertical="top"/>
    </xf>
    <xf numFmtId="165" fontId="12" fillId="0" borderId="5" xfId="0" applyFont="1" applyBorder="1" applyAlignment="1">
      <alignment horizontal="center" wrapText="1"/>
    </xf>
    <xf numFmtId="165" fontId="12" fillId="0" borderId="11" xfId="0" applyFont="1" applyBorder="1" applyAlignment="1">
      <alignment horizontal="center" wrapText="1"/>
    </xf>
    <xf numFmtId="165" fontId="12" fillId="0" borderId="13" xfId="0" applyFont="1" applyBorder="1" applyAlignment="1">
      <alignment horizontal="center" vertical="center" wrapText="1"/>
    </xf>
    <xf numFmtId="165" fontId="12" fillId="0" borderId="14" xfId="0" applyFont="1" applyBorder="1" applyAlignment="1">
      <alignment horizontal="center" vertical="center" wrapText="1"/>
    </xf>
    <xf numFmtId="165" fontId="10" fillId="2" borderId="29" xfId="0" applyFont="1" applyFill="1" applyBorder="1" applyAlignment="1">
      <alignment horizontal="left"/>
    </xf>
    <xf numFmtId="165" fontId="10" fillId="2" borderId="30" xfId="0" applyFont="1" applyFill="1" applyBorder="1" applyAlignment="1">
      <alignment horizontal="left"/>
    </xf>
    <xf numFmtId="165" fontId="10" fillId="2" borderId="31" xfId="0" applyFont="1" applyFill="1" applyBorder="1" applyAlignment="1">
      <alignment horizontal="left"/>
    </xf>
    <xf numFmtId="165" fontId="11" fillId="0" borderId="0" xfId="0" applyFont="1" applyAlignment="1">
      <alignment horizontal="center" vertical="center"/>
    </xf>
    <xf numFmtId="165" fontId="10" fillId="0" borderId="0" xfId="0" applyFont="1" applyAlignment="1">
      <alignment horizontal="center" vertical="center"/>
    </xf>
    <xf numFmtId="165" fontId="10" fillId="2" borderId="8" xfId="0" applyFont="1" applyFill="1" applyBorder="1" applyAlignment="1">
      <alignment horizontal="center" vertical="top"/>
    </xf>
    <xf numFmtId="165" fontId="10" fillId="2" borderId="9" xfId="0" applyFont="1" applyFill="1" applyBorder="1" applyAlignment="1">
      <alignment horizontal="center" vertical="top"/>
    </xf>
    <xf numFmtId="165" fontId="23" fillId="0" borderId="2" xfId="0" applyFont="1" applyBorder="1" applyAlignment="1">
      <alignment horizontal="center" vertical="center"/>
    </xf>
    <xf numFmtId="165" fontId="23" fillId="12" borderId="29" xfId="0" applyFont="1" applyFill="1" applyBorder="1" applyAlignment="1">
      <alignment horizontal="left"/>
    </xf>
    <xf numFmtId="165" fontId="23" fillId="12" borderId="30" xfId="0" applyFont="1" applyFill="1" applyBorder="1" applyAlignment="1">
      <alignment horizontal="left"/>
    </xf>
    <xf numFmtId="165" fontId="23" fillId="12" borderId="31" xfId="0" applyFont="1" applyFill="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FF99FF"/>
      <color rgb="FFFF00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ingresos</a:t>
            </a:r>
            <a:r>
              <a:rPr lang="es-CO" baseline="0"/>
              <a:t> 2024</a:t>
            </a:r>
            <a:endParaRPr lang="es-CO"/>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dLbls>
          <c:dLblPos val="outEnd"/>
          <c:showLegendKey val="0"/>
          <c:showVal val="1"/>
          <c:showCatName val="0"/>
          <c:showSerName val="0"/>
          <c:showPercent val="0"/>
          <c:showBubbleSize val="0"/>
        </c:dLbls>
        <c:gapWidth val="444"/>
        <c:overlap val="-90"/>
        <c:axId val="425389608"/>
        <c:axId val="425386984"/>
      </c:barChart>
      <c:catAx>
        <c:axId val="425389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425386984"/>
        <c:crosses val="autoZero"/>
        <c:auto val="1"/>
        <c:lblAlgn val="ctr"/>
        <c:lblOffset val="100"/>
        <c:noMultiLvlLbl val="0"/>
      </c:catAx>
      <c:valAx>
        <c:axId val="425386984"/>
        <c:scaling>
          <c:orientation val="minMax"/>
        </c:scaling>
        <c:delete val="1"/>
        <c:axPos val="l"/>
        <c:numFmt formatCode="General" sourceLinked="1"/>
        <c:majorTickMark val="none"/>
        <c:minorTickMark val="none"/>
        <c:tickLblPos val="nextTo"/>
        <c:crossAx val="425389608"/>
        <c:crosses val="autoZero"/>
        <c:crossBetween val="between"/>
      </c:valAx>
      <c:spPr>
        <a:noFill/>
        <a:ln w="25400">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172642</xdr:rowOff>
    </xdr:from>
    <xdr:to>
      <xdr:col>0</xdr:col>
      <xdr:colOff>784981</xdr:colOff>
      <xdr:row>0</xdr:row>
      <xdr:rowOff>452437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2642"/>
          <a:ext cx="784981" cy="279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0</xdr:rowOff>
    </xdr:from>
    <xdr:to>
      <xdr:col>4</xdr:col>
      <xdr:colOff>5969000</xdr:colOff>
      <xdr:row>79</xdr:row>
      <xdr:rowOff>57727</xdr:rowOff>
    </xdr:to>
    <xdr:graphicFrame macro="">
      <xdr:nvGraphicFramePr>
        <xdr:cNvPr id="3" name="Gráfico 2">
          <a:extLst>
            <a:ext uri="{FF2B5EF4-FFF2-40B4-BE49-F238E27FC236}">
              <a16:creationId xmlns:a16="http://schemas.microsoft.com/office/drawing/2014/main" id="{8D2230A8-4D1B-46E7-B758-6C9FA96802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0.99368</cdr:x>
      <cdr:y>0.9812</cdr:y>
    </cdr:to>
    <cdr:pic>
      <cdr:nvPicPr>
        <cdr:cNvPr id="3" name="chart">
          <a:extLst xmlns:a="http://schemas.openxmlformats.org/drawingml/2006/main">
            <a:ext uri="{FF2B5EF4-FFF2-40B4-BE49-F238E27FC236}">
              <a16:creationId xmlns:a16="http://schemas.microsoft.com/office/drawing/2014/main" id="{77E7E6DF-5E6B-4F36-95A0-9814E0022D0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11114286" cy="5171429"/>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wnloads/FACTURACI&#211;N%20KIWA%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RAFICO"/>
    </sheetNames>
    <sheetDataSet>
      <sheetData sheetId="0">
        <row r="1">
          <cell r="A1" t="str">
            <v>CEE</v>
          </cell>
          <cell r="B1">
            <v>193445052.80000001</v>
          </cell>
          <cell r="C1">
            <v>6.6769626127581E-2</v>
          </cell>
        </row>
        <row r="2">
          <cell r="A2" t="str">
            <v>USDA NOP</v>
          </cell>
          <cell r="B2">
            <v>195947106</v>
          </cell>
          <cell r="C2">
            <v>6.7633236513565065E-2</v>
          </cell>
        </row>
        <row r="3">
          <cell r="A3" t="str">
            <v>JAS</v>
          </cell>
          <cell r="B3">
            <v>104512348</v>
          </cell>
          <cell r="C3">
            <v>3.6073553190788227E-2</v>
          </cell>
        </row>
        <row r="4">
          <cell r="A4" t="str">
            <v>DEMETER</v>
          </cell>
          <cell r="B4">
            <v>17980000</v>
          </cell>
          <cell r="C4">
            <v>6.2059890413176094E-3</v>
          </cell>
        </row>
        <row r="5">
          <cell r="A5" t="str">
            <v>BIO MEXICO EXPORTACION</v>
          </cell>
          <cell r="B5">
            <v>14369950</v>
          </cell>
          <cell r="C5">
            <v>4.9599417254884304E-3</v>
          </cell>
        </row>
        <row r="6">
          <cell r="A6" t="str">
            <v>KRAV</v>
          </cell>
          <cell r="B6">
            <v>5122904</v>
          </cell>
          <cell r="C6">
            <v>1.7682250324650803E-3</v>
          </cell>
        </row>
        <row r="7">
          <cell r="A7" t="str">
            <v>EQUIVALENCIA COR</v>
          </cell>
          <cell r="B7">
            <v>14426934.199999999</v>
          </cell>
          <cell r="C7">
            <v>4.9796104307569646E-3</v>
          </cell>
        </row>
        <row r="8">
          <cell r="A8" t="str">
            <v>TC´S COI´S</v>
          </cell>
          <cell r="B8">
            <v>195852589.49000001</v>
          </cell>
          <cell r="C8">
            <v>6.7600613130623835E-2</v>
          </cell>
        </row>
        <row r="9">
          <cell r="A9" t="str">
            <v>EXTENSION (ORG)</v>
          </cell>
          <cell r="B9">
            <v>18589620.5</v>
          </cell>
          <cell r="C9">
            <v>6.4164060681453378E-3</v>
          </cell>
        </row>
        <row r="10">
          <cell r="A10" t="str">
            <v>EXTENSION (GG)</v>
          </cell>
          <cell r="B10">
            <v>6216633</v>
          </cell>
          <cell r="C10">
            <v>2.1457372787482432E-3</v>
          </cell>
        </row>
        <row r="11">
          <cell r="A11" t="str">
            <v>AMPLIACION CERTIFICADOS MASTER</v>
          </cell>
          <cell r="B11">
            <v>2608691</v>
          </cell>
          <cell r="C11">
            <v>9.0041756163425335E-4</v>
          </cell>
        </row>
        <row r="12">
          <cell r="A12" t="str">
            <v>GG+FEE</v>
          </cell>
          <cell r="B12">
            <v>1067990618.0999999</v>
          </cell>
          <cell r="C12">
            <v>0.36862836886310452</v>
          </cell>
        </row>
        <row r="13">
          <cell r="A13" t="str">
            <v>GRASP+FEE</v>
          </cell>
          <cell r="B13">
            <v>258956695.09999999</v>
          </cell>
          <cell r="C13">
            <v>8.9381669186119325E-2</v>
          </cell>
        </row>
        <row r="14">
          <cell r="A14" t="str">
            <v>BRC+FEE</v>
          </cell>
          <cell r="B14">
            <v>169249718</v>
          </cell>
          <cell r="C14">
            <v>5.8418347895110995E-2</v>
          </cell>
        </row>
        <row r="15">
          <cell r="A15" t="str">
            <v>IFS+FEE</v>
          </cell>
          <cell r="B15">
            <v>22658045</v>
          </cell>
          <cell r="C15">
            <v>7.8206662384694807E-3</v>
          </cell>
        </row>
        <row r="16">
          <cell r="A16" t="str">
            <v>NURTURE+FEE</v>
          </cell>
          <cell r="B16">
            <v>60560185</v>
          </cell>
          <cell r="C16">
            <v>2.090299468577125E-2</v>
          </cell>
        </row>
        <row r="17">
          <cell r="A17" t="str">
            <v>ALBERT HEIJN+FEE</v>
          </cell>
          <cell r="B17">
            <v>36067830</v>
          </cell>
          <cell r="C17">
            <v>1.2449196758849083E-2</v>
          </cell>
        </row>
        <row r="18">
          <cell r="A18" t="str">
            <v>FSMA (GG)+FEE</v>
          </cell>
          <cell r="B18">
            <v>29072975.800000001</v>
          </cell>
          <cell r="C18">
            <v>1.003484812087275E-2</v>
          </cell>
        </row>
        <row r="19">
          <cell r="A19" t="str">
            <v>LEAF MARQUE+FEE</v>
          </cell>
          <cell r="B19">
            <v>3473808</v>
          </cell>
          <cell r="C19">
            <v>1.1990219343515818E-3</v>
          </cell>
        </row>
        <row r="20">
          <cell r="A20" t="str">
            <v>HACCP</v>
          </cell>
          <cell r="B20">
            <v>1256284</v>
          </cell>
          <cell r="C20">
            <v>4.3361984075543109E-4</v>
          </cell>
        </row>
        <row r="21">
          <cell r="A21" t="str">
            <v>R4T+FEE</v>
          </cell>
          <cell r="B21">
            <v>16690379.9</v>
          </cell>
          <cell r="C21">
            <v>5.7608628895899723E-3</v>
          </cell>
        </row>
        <row r="22">
          <cell r="A22" t="str">
            <v>GG SPRING+FEE</v>
          </cell>
          <cell r="B22">
            <v>13443364.800000001</v>
          </cell>
          <cell r="C22">
            <v>4.6401209470097278E-3</v>
          </cell>
        </row>
        <row r="23">
          <cell r="A23" t="str">
            <v>INTERCOMPANY COSTA RICA</v>
          </cell>
          <cell r="B23">
            <v>11536469</v>
          </cell>
          <cell r="C23">
            <v>3.9819354944104742E-3</v>
          </cell>
        </row>
        <row r="24">
          <cell r="A24" t="str">
            <v>INTERCOMPANY ECUADOR</v>
          </cell>
          <cell r="B24">
            <v>12008596</v>
          </cell>
          <cell r="C24">
            <v>4.1448951711685472E-3</v>
          </cell>
        </row>
        <row r="25">
          <cell r="A25" t="str">
            <v>INTERCOMPANY ESPAÑA</v>
          </cell>
          <cell r="B25">
            <v>24536776.390000001</v>
          </cell>
          <cell r="C25">
            <v>8.4691304441379678E-3</v>
          </cell>
        </row>
        <row r="26">
          <cell r="A26" t="str">
            <v>NACIONAL</v>
          </cell>
          <cell r="B26">
            <v>157748180.5</v>
          </cell>
          <cell r="C26">
            <v>5.4448469381022928E-2</v>
          </cell>
        </row>
        <row r="27">
          <cell r="A27" t="str">
            <v>ISCC</v>
          </cell>
          <cell r="B27">
            <v>33922452</v>
          </cell>
          <cell r="C27">
            <v>1.1708696627732071E-2</v>
          </cell>
        </row>
        <row r="28">
          <cell r="A28" t="str">
            <v>4C</v>
          </cell>
          <cell r="B28">
            <v>55521000</v>
          </cell>
          <cell r="C28">
            <v>1.9163666160344549E-2</v>
          </cell>
        </row>
        <row r="29">
          <cell r="A29" t="str">
            <v>RSPO</v>
          </cell>
          <cell r="B29">
            <v>93546854.25</v>
          </cell>
          <cell r="C29">
            <v>3.228869590240465E-2</v>
          </cell>
        </row>
        <row r="30">
          <cell r="A30" t="str">
            <v>TAIWAN</v>
          </cell>
          <cell r="B30">
            <v>23540269</v>
          </cell>
          <cell r="C30">
            <v>8.1251752749537613E-3</v>
          </cell>
        </row>
        <row r="31">
          <cell r="A31" t="str">
            <v>RAIN FOREST</v>
          </cell>
          <cell r="B31">
            <v>36349047.789999999</v>
          </cell>
          <cell r="C31">
            <v>1.2546262082706899E-2</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showGridLines="0" tabSelected="1" topLeftCell="A13" zoomScale="130" zoomScaleNormal="130" workbookViewId="0">
      <selection activeCell="D21" sqref="D21"/>
    </sheetView>
  </sheetViews>
  <sheetFormatPr baseColWidth="10" defaultColWidth="11.453125" defaultRowHeight="11.5" x14ac:dyDescent="0.25"/>
  <cols>
    <col min="1" max="1" width="12.453125" style="162" customWidth="1"/>
    <col min="2" max="5" width="11.453125" style="162"/>
    <col min="6" max="6" width="6.1796875" style="162" customWidth="1"/>
    <col min="7" max="7" width="7.1796875" style="162" customWidth="1"/>
    <col min="8" max="8" width="11.7265625" style="162" customWidth="1"/>
    <col min="9" max="9" width="6" style="162" customWidth="1"/>
    <col min="10" max="10" width="11.453125" style="162" customWidth="1"/>
    <col min="11" max="16384" width="11.453125" style="162"/>
  </cols>
  <sheetData>
    <row r="1" spans="1:10" ht="50.25" customHeight="1" x14ac:dyDescent="0.25">
      <c r="A1" s="252"/>
      <c r="B1" s="265" t="s">
        <v>0</v>
      </c>
      <c r="C1" s="266"/>
      <c r="D1" s="266"/>
      <c r="E1" s="266"/>
      <c r="F1" s="266"/>
      <c r="G1" s="267"/>
      <c r="H1" s="265" t="s">
        <v>1</v>
      </c>
      <c r="I1" s="267"/>
    </row>
    <row r="2" spans="1:10" s="95" customFormat="1" x14ac:dyDescent="0.25">
      <c r="A2" s="253"/>
      <c r="B2" s="254"/>
      <c r="C2" s="254"/>
      <c r="D2" s="254"/>
      <c r="E2" s="254"/>
      <c r="F2" s="254"/>
      <c r="G2" s="254"/>
      <c r="H2" s="254"/>
      <c r="I2" s="255"/>
    </row>
    <row r="3" spans="1:10" s="95" customFormat="1" ht="12.75" customHeight="1" x14ac:dyDescent="0.25">
      <c r="A3" s="262" t="s">
        <v>2</v>
      </c>
      <c r="B3" s="263"/>
      <c r="C3" s="263"/>
      <c r="D3" s="263"/>
      <c r="E3" s="263"/>
      <c r="F3" s="263"/>
      <c r="G3" s="263"/>
      <c r="H3" s="263"/>
      <c r="I3" s="264"/>
      <c r="J3" s="256"/>
    </row>
    <row r="4" spans="1:10" s="95" customFormat="1" ht="60.75" customHeight="1" x14ac:dyDescent="0.25">
      <c r="A4" s="262"/>
      <c r="B4" s="263"/>
      <c r="C4" s="263"/>
      <c r="D4" s="263"/>
      <c r="E4" s="263"/>
      <c r="F4" s="263"/>
      <c r="G4" s="263"/>
      <c r="H4" s="263"/>
      <c r="I4" s="264"/>
      <c r="J4" s="256"/>
    </row>
    <row r="5" spans="1:10" s="95" customFormat="1" x14ac:dyDescent="0.25">
      <c r="A5" s="257" t="s">
        <v>3</v>
      </c>
      <c r="B5" s="162"/>
      <c r="C5" s="162"/>
      <c r="D5" s="162"/>
      <c r="E5" s="162"/>
      <c r="F5" s="162"/>
      <c r="G5" s="162"/>
      <c r="H5" s="162"/>
      <c r="I5" s="258"/>
    </row>
    <row r="6" spans="1:10" s="95" customFormat="1" x14ac:dyDescent="0.25">
      <c r="A6" s="257" t="s">
        <v>4</v>
      </c>
      <c r="B6" s="162"/>
      <c r="C6" s="162"/>
      <c r="D6" s="162"/>
      <c r="E6" s="162"/>
      <c r="F6" s="162"/>
      <c r="G6" s="162"/>
      <c r="H6" s="162"/>
      <c r="I6" s="258"/>
    </row>
    <row r="7" spans="1:10" s="95" customFormat="1" x14ac:dyDescent="0.25">
      <c r="A7" s="257" t="s">
        <v>5</v>
      </c>
      <c r="B7" s="162"/>
      <c r="C7" s="162"/>
      <c r="D7" s="162"/>
      <c r="E7" s="162"/>
      <c r="F7" s="162"/>
      <c r="G7" s="162"/>
      <c r="H7" s="162"/>
      <c r="I7" s="258"/>
    </row>
    <row r="8" spans="1:10" s="95" customFormat="1" x14ac:dyDescent="0.25">
      <c r="A8" s="257" t="s">
        <v>6</v>
      </c>
      <c r="B8" s="162"/>
      <c r="C8" s="162"/>
      <c r="D8" s="162"/>
      <c r="E8" s="162"/>
      <c r="F8" s="162"/>
      <c r="G8" s="162"/>
      <c r="H8" s="162"/>
      <c r="I8" s="258"/>
    </row>
    <row r="9" spans="1:10" s="95" customFormat="1" x14ac:dyDescent="0.25">
      <c r="A9" s="257" t="s">
        <v>7</v>
      </c>
      <c r="B9" s="162"/>
      <c r="C9" s="162"/>
      <c r="D9" s="162"/>
      <c r="E9" s="162"/>
      <c r="F9" s="162"/>
      <c r="G9" s="162"/>
      <c r="H9" s="162"/>
      <c r="I9" s="258"/>
    </row>
    <row r="10" spans="1:10" s="95" customFormat="1" x14ac:dyDescent="0.25">
      <c r="A10" s="257" t="s">
        <v>8</v>
      </c>
      <c r="B10" s="162"/>
      <c r="C10" s="162"/>
      <c r="D10" s="162"/>
      <c r="E10" s="162"/>
      <c r="F10" s="162"/>
      <c r="G10" s="162"/>
      <c r="H10" s="162"/>
      <c r="I10" s="258"/>
    </row>
    <row r="11" spans="1:10" s="95" customFormat="1" x14ac:dyDescent="0.25">
      <c r="A11" s="257" t="s">
        <v>9</v>
      </c>
      <c r="B11" s="162"/>
      <c r="C11" s="162"/>
      <c r="D11" s="162"/>
      <c r="E11" s="162"/>
      <c r="F11" s="162"/>
      <c r="G11" s="162"/>
      <c r="H11" s="162"/>
      <c r="I11" s="258"/>
    </row>
    <row r="12" spans="1:10" s="95" customFormat="1" x14ac:dyDescent="0.25">
      <c r="A12" s="257" t="s">
        <v>10</v>
      </c>
      <c r="B12" s="162"/>
      <c r="C12" s="162"/>
      <c r="D12" s="162"/>
      <c r="E12" s="162"/>
      <c r="F12" s="162"/>
      <c r="G12" s="162"/>
      <c r="H12" s="162"/>
      <c r="I12" s="258"/>
    </row>
    <row r="13" spans="1:10" s="95" customFormat="1" x14ac:dyDescent="0.25">
      <c r="A13" s="257" t="s">
        <v>11</v>
      </c>
      <c r="B13" s="162"/>
      <c r="C13" s="162"/>
      <c r="D13" s="162"/>
      <c r="E13" s="162"/>
      <c r="F13" s="162"/>
      <c r="G13" s="162"/>
      <c r="H13" s="162"/>
      <c r="I13" s="258"/>
    </row>
    <row r="14" spans="1:10" s="95" customFormat="1" x14ac:dyDescent="0.25">
      <c r="A14" s="257" t="s">
        <v>12</v>
      </c>
      <c r="B14" s="162"/>
      <c r="C14" s="162"/>
      <c r="D14" s="162"/>
      <c r="E14" s="162"/>
      <c r="F14" s="162"/>
      <c r="G14" s="162"/>
      <c r="H14" s="162"/>
      <c r="I14" s="258"/>
    </row>
    <row r="15" spans="1:10" s="95" customFormat="1" x14ac:dyDescent="0.25">
      <c r="A15" s="257" t="s">
        <v>13</v>
      </c>
      <c r="B15" s="162"/>
      <c r="C15" s="162"/>
      <c r="D15" s="162"/>
      <c r="E15" s="162"/>
      <c r="F15" s="162"/>
      <c r="G15" s="162"/>
      <c r="H15" s="162"/>
      <c r="I15" s="258"/>
    </row>
    <row r="16" spans="1:10" s="95" customFormat="1" x14ac:dyDescent="0.25">
      <c r="A16" s="259" t="s">
        <v>14</v>
      </c>
      <c r="B16" s="260"/>
      <c r="C16" s="260"/>
      <c r="D16" s="260"/>
      <c r="E16" s="260"/>
      <c r="F16" s="260"/>
      <c r="G16" s="260"/>
      <c r="H16" s="260"/>
      <c r="I16" s="261"/>
    </row>
    <row r="17" spans="1:9" x14ac:dyDescent="0.25">
      <c r="A17" s="268" t="s">
        <v>15</v>
      </c>
      <c r="B17" s="269"/>
      <c r="C17" s="270" t="s">
        <v>181</v>
      </c>
      <c r="D17" s="271"/>
      <c r="E17" s="272"/>
      <c r="F17" s="273" t="s">
        <v>182</v>
      </c>
      <c r="G17" s="274"/>
      <c r="H17" s="274"/>
      <c r="I17" s="275"/>
    </row>
  </sheetData>
  <sheetProtection formatCells="0" formatColumns="0" formatRows="0" insertColumns="0" insertRows="0" insertHyperlinks="0" deleteColumns="0" deleteRows="0" sort="0" autoFilter="0" pivotTables="0"/>
  <mergeCells count="6">
    <mergeCell ref="A3:I4"/>
    <mergeCell ref="B1:G1"/>
    <mergeCell ref="H1:I1"/>
    <mergeCell ref="A17:B17"/>
    <mergeCell ref="C17:E17"/>
    <mergeCell ref="F17:I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D7"/>
  <sheetViews>
    <sheetView zoomScale="110" zoomScaleNormal="110" workbookViewId="0">
      <selection activeCell="B5" sqref="B5:D5"/>
    </sheetView>
  </sheetViews>
  <sheetFormatPr baseColWidth="10" defaultColWidth="11.453125" defaultRowHeight="12.5" x14ac:dyDescent="0.25"/>
  <cols>
    <col min="1" max="1" width="16.81640625" customWidth="1"/>
    <col min="2" max="2" width="10.81640625" style="51"/>
    <col min="4" max="4" width="30.26953125" customWidth="1"/>
  </cols>
  <sheetData>
    <row r="1" spans="1:4" ht="13" thickBot="1" x14ac:dyDescent="0.3">
      <c r="A1" s="296" t="s">
        <v>18</v>
      </c>
      <c r="B1" s="297"/>
      <c r="C1" s="297"/>
      <c r="D1" s="297"/>
    </row>
    <row r="2" spans="1:4" ht="13" thickBot="1" x14ac:dyDescent="0.3">
      <c r="A2" s="298" t="s">
        <v>19</v>
      </c>
      <c r="B2" s="277"/>
      <c r="C2" s="277"/>
      <c r="D2" s="277"/>
    </row>
    <row r="3" spans="1:4" x14ac:dyDescent="0.25">
      <c r="A3" s="249" t="s">
        <v>20</v>
      </c>
      <c r="B3" s="299" t="s">
        <v>21</v>
      </c>
      <c r="C3" s="299"/>
      <c r="D3" s="299"/>
    </row>
    <row r="4" spans="1:4" ht="56.15" customHeight="1" x14ac:dyDescent="0.25">
      <c r="A4" s="247" t="s">
        <v>22</v>
      </c>
      <c r="B4" s="295" t="s">
        <v>165</v>
      </c>
      <c r="C4" s="295"/>
      <c r="D4" s="295"/>
    </row>
    <row r="5" spans="1:4" ht="45.65" customHeight="1" x14ac:dyDescent="0.25">
      <c r="A5" s="247" t="s">
        <v>23</v>
      </c>
      <c r="B5" s="295" t="s">
        <v>165</v>
      </c>
      <c r="C5" s="295"/>
      <c r="D5" s="295"/>
    </row>
    <row r="6" spans="1:4" ht="50.15" customHeight="1" thickBot="1" x14ac:dyDescent="0.3">
      <c r="A6" s="248" t="s">
        <v>24</v>
      </c>
      <c r="B6" s="295">
        <v>767000</v>
      </c>
      <c r="C6" s="295"/>
      <c r="D6" s="295"/>
    </row>
    <row r="7" spans="1:4" ht="66" customHeight="1" thickBot="1" x14ac:dyDescent="0.3">
      <c r="A7" s="248" t="s">
        <v>27</v>
      </c>
      <c r="B7" s="295" t="s">
        <v>28</v>
      </c>
      <c r="C7" s="295"/>
      <c r="D7" s="295"/>
    </row>
  </sheetData>
  <sheetProtection formatCells="0" formatColumns="0" formatRows="0" insertColumns="0" insertRows="0" insertHyperlinks="0" deleteColumns="0" deleteRows="0" sort="0" autoFilter="0" pivotTables="0"/>
  <mergeCells count="7">
    <mergeCell ref="A1:D1"/>
    <mergeCell ref="A2:D2"/>
    <mergeCell ref="B7:D7"/>
    <mergeCell ref="B3:D3"/>
    <mergeCell ref="B4:D4"/>
    <mergeCell ref="B5:D5"/>
    <mergeCell ref="B6:D6"/>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E45"/>
  <sheetViews>
    <sheetView zoomScale="110" zoomScaleNormal="110" workbookViewId="0">
      <selection activeCell="D6" sqref="D6"/>
    </sheetView>
  </sheetViews>
  <sheetFormatPr baseColWidth="10" defaultColWidth="11.453125" defaultRowHeight="11.5" x14ac:dyDescent="0.25"/>
  <cols>
    <col min="1" max="1" width="26.81640625" style="162" customWidth="1"/>
    <col min="2" max="2" width="16.7265625" style="163" customWidth="1"/>
    <col min="3" max="3" width="16.54296875" style="162" customWidth="1"/>
    <col min="4" max="4" width="14.7265625" style="162" customWidth="1"/>
    <col min="5" max="5" width="20.7265625" style="162" customWidth="1"/>
    <col min="6" max="6" width="9.453125" style="162" customWidth="1"/>
    <col min="7" max="7" width="8" style="162" customWidth="1"/>
    <col min="8" max="8" width="9.1796875" style="162" customWidth="1"/>
    <col min="9" max="9" width="9.7265625" style="162" customWidth="1"/>
    <col min="10" max="16384" width="11.453125" style="162"/>
  </cols>
  <sheetData>
    <row r="1" spans="1:5" s="105" customFormat="1" ht="27" customHeight="1" thickBot="1" x14ac:dyDescent="0.3">
      <c r="A1" s="312" t="s">
        <v>166</v>
      </c>
      <c r="B1" s="313"/>
      <c r="C1" s="313"/>
      <c r="D1" s="313"/>
      <c r="E1" s="313"/>
    </row>
    <row r="2" spans="1:5" ht="13.5" customHeight="1" thickBot="1" x14ac:dyDescent="0.3"/>
    <row r="3" spans="1:5" ht="17.25" customHeight="1" thickBot="1" x14ac:dyDescent="0.3">
      <c r="A3" s="327" t="s">
        <v>167</v>
      </c>
      <c r="B3" s="327"/>
      <c r="C3" s="327"/>
      <c r="D3" s="327"/>
      <c r="E3" s="327"/>
    </row>
    <row r="4" spans="1:5" ht="12" thickBot="1" x14ac:dyDescent="0.3">
      <c r="A4" s="164"/>
      <c r="B4" s="165" t="s">
        <v>87</v>
      </c>
      <c r="C4" s="165" t="s">
        <v>133</v>
      </c>
      <c r="D4" s="166" t="s">
        <v>89</v>
      </c>
      <c r="E4" s="167" t="s">
        <v>90</v>
      </c>
    </row>
    <row r="5" spans="1:5" x14ac:dyDescent="0.25">
      <c r="A5" s="168" t="s">
        <v>91</v>
      </c>
      <c r="B5" s="169"/>
      <c r="C5" s="169"/>
      <c r="D5" s="170"/>
      <c r="E5" s="168"/>
    </row>
    <row r="6" spans="1:5" x14ac:dyDescent="0.25">
      <c r="A6" s="117" t="s">
        <v>115</v>
      </c>
      <c r="B6" s="144" t="s">
        <v>94</v>
      </c>
      <c r="C6" s="133">
        <v>600000</v>
      </c>
      <c r="D6" s="122">
        <f>C6/3700</f>
        <v>162.16216216216216</v>
      </c>
      <c r="E6" s="117">
        <f>C6/3200</f>
        <v>187.5</v>
      </c>
    </row>
    <row r="7" spans="1:5" x14ac:dyDescent="0.25">
      <c r="A7" s="133" t="s">
        <v>95</v>
      </c>
      <c r="B7" s="144" t="s">
        <v>94</v>
      </c>
      <c r="C7" s="133">
        <v>144473.98000000001</v>
      </c>
      <c r="D7" s="122">
        <f t="shared" ref="D7:D9" si="0">C7/3700</f>
        <v>39.047021621621624</v>
      </c>
      <c r="E7" s="117">
        <f t="shared" ref="E7:E9" si="1">C7/3200</f>
        <v>45.148118750000002</v>
      </c>
    </row>
    <row r="8" spans="1:5" x14ac:dyDescent="0.25">
      <c r="A8" s="133" t="s">
        <v>96</v>
      </c>
      <c r="B8" s="144" t="s">
        <v>94</v>
      </c>
      <c r="C8" s="133">
        <v>43945.319459626655</v>
      </c>
      <c r="D8" s="122">
        <f t="shared" si="0"/>
        <v>11.877113367466663</v>
      </c>
      <c r="E8" s="117">
        <f t="shared" si="1"/>
        <v>13.732912331133329</v>
      </c>
    </row>
    <row r="9" spans="1:5" ht="12" x14ac:dyDescent="0.3">
      <c r="A9" s="171" t="s">
        <v>97</v>
      </c>
      <c r="B9" s="172" t="s">
        <v>98</v>
      </c>
      <c r="C9" s="173">
        <f>C6+C7+C8</f>
        <v>788419.29945962667</v>
      </c>
      <c r="D9" s="174">
        <f t="shared" si="0"/>
        <v>213.08629715125045</v>
      </c>
      <c r="E9" s="134">
        <f t="shared" si="1"/>
        <v>246.38103108113333</v>
      </c>
    </row>
    <row r="10" spans="1:5" x14ac:dyDescent="0.25">
      <c r="A10" s="175" t="s">
        <v>99</v>
      </c>
      <c r="B10" s="169"/>
      <c r="C10" s="169"/>
      <c r="D10" s="170"/>
      <c r="E10" s="168"/>
    </row>
    <row r="11" spans="1:5" x14ac:dyDescent="0.25">
      <c r="A11" s="176" t="s">
        <v>100</v>
      </c>
      <c r="B11" s="118" t="s">
        <v>101</v>
      </c>
      <c r="C11" s="117">
        <v>57482.191780821915</v>
      </c>
      <c r="D11" s="109">
        <f>C11/3700</f>
        <v>15.535727508330247</v>
      </c>
      <c r="E11" s="107">
        <f>C11/3200</f>
        <v>17.963184931506849</v>
      </c>
    </row>
    <row r="12" spans="1:5" x14ac:dyDescent="0.25">
      <c r="A12" s="176" t="s">
        <v>102</v>
      </c>
      <c r="B12" s="118" t="s">
        <v>101</v>
      </c>
      <c r="C12" s="117">
        <v>767.1232876712329</v>
      </c>
      <c r="D12" s="109">
        <f t="shared" ref="D12:D24" si="2">C12/3700</f>
        <v>0.2073306182895224</v>
      </c>
      <c r="E12" s="119">
        <f t="shared" ref="E12:E24" si="3">C12/3200</f>
        <v>0.23972602739726029</v>
      </c>
    </row>
    <row r="13" spans="1:5" x14ac:dyDescent="0.25">
      <c r="A13" s="176" t="s">
        <v>103</v>
      </c>
      <c r="B13" s="118" t="s">
        <v>101</v>
      </c>
      <c r="C13" s="117">
        <v>10520.547945205479</v>
      </c>
      <c r="D13" s="109">
        <f t="shared" si="2"/>
        <v>2.8433913365420214</v>
      </c>
      <c r="E13" s="107">
        <f t="shared" si="3"/>
        <v>3.2876712328767121</v>
      </c>
    </row>
    <row r="14" spans="1:5" x14ac:dyDescent="0.25">
      <c r="A14" s="176" t="s">
        <v>104</v>
      </c>
      <c r="B14" s="118" t="s">
        <v>101</v>
      </c>
      <c r="C14" s="117">
        <v>31347.608219178081</v>
      </c>
      <c r="D14" s="109">
        <f t="shared" si="2"/>
        <v>8.4723265457238064</v>
      </c>
      <c r="E14" s="107">
        <f t="shared" si="3"/>
        <v>9.7961275684931497</v>
      </c>
    </row>
    <row r="15" spans="1:5" x14ac:dyDescent="0.25">
      <c r="A15" s="176" t="s">
        <v>105</v>
      </c>
      <c r="B15" s="118" t="s">
        <v>101</v>
      </c>
      <c r="C15" s="117">
        <v>25643.835616438355</v>
      </c>
      <c r="D15" s="109">
        <f t="shared" si="2"/>
        <v>6.9307663828211767</v>
      </c>
      <c r="E15" s="107">
        <f t="shared" si="3"/>
        <v>8.0136986301369859</v>
      </c>
    </row>
    <row r="16" spans="1:5" x14ac:dyDescent="0.25">
      <c r="A16" s="176" t="s">
        <v>106</v>
      </c>
      <c r="B16" s="118" t="s">
        <v>101</v>
      </c>
      <c r="C16" s="117">
        <v>5109.58904109589</v>
      </c>
      <c r="D16" s="109">
        <f t="shared" si="2"/>
        <v>1.3809700111069974</v>
      </c>
      <c r="E16" s="107">
        <f t="shared" si="3"/>
        <v>1.5967465753424657</v>
      </c>
    </row>
    <row r="17" spans="1:5" x14ac:dyDescent="0.25">
      <c r="A17" s="176" t="s">
        <v>107</v>
      </c>
      <c r="B17" s="118" t="s">
        <v>101</v>
      </c>
      <c r="C17" s="117">
        <v>18410.95890410959</v>
      </c>
      <c r="D17" s="109">
        <f t="shared" si="2"/>
        <v>4.9759348389485378</v>
      </c>
      <c r="E17" s="107">
        <f t="shared" si="3"/>
        <v>5.7534246575342465</v>
      </c>
    </row>
    <row r="18" spans="1:5" x14ac:dyDescent="0.25">
      <c r="A18" s="176" t="s">
        <v>108</v>
      </c>
      <c r="B18" s="118" t="s">
        <v>101</v>
      </c>
      <c r="C18" s="117">
        <v>32876.71232876712</v>
      </c>
      <c r="D18" s="109">
        <f t="shared" si="2"/>
        <v>8.8855979266938157</v>
      </c>
      <c r="E18" s="107">
        <f t="shared" si="3"/>
        <v>10.273972602739725</v>
      </c>
    </row>
    <row r="19" spans="1:5" x14ac:dyDescent="0.25">
      <c r="A19" s="176" t="s">
        <v>109</v>
      </c>
      <c r="B19" s="118" t="s">
        <v>101</v>
      </c>
      <c r="C19" s="117">
        <v>6313.3616438356166</v>
      </c>
      <c r="D19" s="109">
        <f t="shared" si="2"/>
        <v>1.7063139577934099</v>
      </c>
      <c r="E19" s="107">
        <f t="shared" si="3"/>
        <v>1.9729255136986301</v>
      </c>
    </row>
    <row r="20" spans="1:5" x14ac:dyDescent="0.25">
      <c r="A20" s="176" t="s">
        <v>168</v>
      </c>
      <c r="B20" s="118"/>
      <c r="C20" s="117">
        <f>9000000/9</f>
        <v>1000000</v>
      </c>
      <c r="D20" s="109">
        <f t="shared" si="2"/>
        <v>270.27027027027026</v>
      </c>
      <c r="E20" s="107">
        <f t="shared" si="3"/>
        <v>312.5</v>
      </c>
    </row>
    <row r="21" spans="1:5" ht="12" x14ac:dyDescent="0.3">
      <c r="A21" s="120" t="s">
        <v>97</v>
      </c>
      <c r="B21" s="121" t="s">
        <v>98</v>
      </c>
      <c r="C21" s="117">
        <f>SUM(C11:C20)</f>
        <v>1188471.9287671233</v>
      </c>
      <c r="D21" s="109">
        <f t="shared" si="2"/>
        <v>321.20862939651983</v>
      </c>
      <c r="E21" s="107">
        <f t="shared" si="3"/>
        <v>371.39747773972601</v>
      </c>
    </row>
    <row r="22" spans="1:5" ht="12" x14ac:dyDescent="0.3">
      <c r="A22" s="120" t="s">
        <v>169</v>
      </c>
      <c r="B22" s="121" t="s">
        <v>98</v>
      </c>
      <c r="C22" s="117">
        <f>C21+C9</f>
        <v>1976891.2282267499</v>
      </c>
      <c r="D22" s="109">
        <f t="shared" si="2"/>
        <v>534.29492654777027</v>
      </c>
      <c r="E22" s="107">
        <f t="shared" si="3"/>
        <v>617.77850882085932</v>
      </c>
    </row>
    <row r="23" spans="1:5" x14ac:dyDescent="0.25">
      <c r="A23" s="177" t="s">
        <v>111</v>
      </c>
      <c r="B23" s="178" t="s">
        <v>98</v>
      </c>
      <c r="C23" s="179">
        <v>2800000</v>
      </c>
      <c r="D23" s="180">
        <f t="shared" si="2"/>
        <v>756.75675675675677</v>
      </c>
      <c r="E23" s="181">
        <f t="shared" si="3"/>
        <v>875</v>
      </c>
    </row>
    <row r="24" spans="1:5" x14ac:dyDescent="0.25">
      <c r="A24" s="182" t="s">
        <v>112</v>
      </c>
      <c r="B24" s="183" t="s">
        <v>113</v>
      </c>
      <c r="C24" s="184">
        <f>C23-C22</f>
        <v>823108.77177325008</v>
      </c>
      <c r="D24" s="185">
        <f t="shared" si="2"/>
        <v>222.4618302089865</v>
      </c>
      <c r="E24" s="186">
        <f t="shared" si="3"/>
        <v>257.22149117914063</v>
      </c>
    </row>
    <row r="25" spans="1:5" s="105" customFormat="1" x14ac:dyDescent="0.25">
      <c r="A25" s="175" t="s">
        <v>149</v>
      </c>
      <c r="B25" s="169"/>
      <c r="C25" s="169"/>
      <c r="D25" s="170"/>
      <c r="E25" s="168"/>
    </row>
    <row r="26" spans="1:5" s="105" customFormat="1" ht="14.25" customHeight="1" x14ac:dyDescent="0.25">
      <c r="A26" s="133" t="s">
        <v>115</v>
      </c>
      <c r="B26" s="144" t="s">
        <v>94</v>
      </c>
      <c r="C26" s="133">
        <v>600000</v>
      </c>
      <c r="D26" s="132">
        <f>C26/3700</f>
        <v>162.16216216216216</v>
      </c>
      <c r="E26" s="133">
        <f>C26/3200</f>
        <v>187.5</v>
      </c>
    </row>
    <row r="27" spans="1:5" s="105" customFormat="1" ht="12" x14ac:dyDescent="0.3">
      <c r="A27" s="134" t="s">
        <v>150</v>
      </c>
      <c r="B27" s="135" t="s">
        <v>98</v>
      </c>
      <c r="C27" s="134">
        <f>C26</f>
        <v>600000</v>
      </c>
      <c r="D27" s="132">
        <f t="shared" ref="D27:D29" si="4">C27/3700</f>
        <v>162.16216216216216</v>
      </c>
      <c r="E27" s="133">
        <f t="shared" ref="E27:E29" si="5">C27/3200</f>
        <v>187.5</v>
      </c>
    </row>
    <row r="28" spans="1:5" s="105" customFormat="1" x14ac:dyDescent="0.25">
      <c r="A28" s="187" t="s">
        <v>111</v>
      </c>
      <c r="B28" s="188" t="s">
        <v>113</v>
      </c>
      <c r="C28" s="179">
        <v>1000000</v>
      </c>
      <c r="D28" s="189">
        <f t="shared" si="4"/>
        <v>270.27027027027026</v>
      </c>
      <c r="E28" s="190">
        <f t="shared" si="5"/>
        <v>312.5</v>
      </c>
    </row>
    <row r="29" spans="1:5" s="105" customFormat="1" x14ac:dyDescent="0.25">
      <c r="A29" s="191" t="s">
        <v>112</v>
      </c>
      <c r="B29" s="192" t="s">
        <v>113</v>
      </c>
      <c r="C29" s="184">
        <f>C28-C27</f>
        <v>400000</v>
      </c>
      <c r="D29" s="189">
        <f t="shared" si="4"/>
        <v>108.10810810810811</v>
      </c>
      <c r="E29" s="190">
        <f t="shared" si="5"/>
        <v>125</v>
      </c>
    </row>
    <row r="30" spans="1:5" x14ac:dyDescent="0.25">
      <c r="A30" s="168" t="s">
        <v>151</v>
      </c>
      <c r="B30" s="169"/>
      <c r="C30" s="169"/>
      <c r="D30" s="170"/>
      <c r="E30" s="168"/>
    </row>
    <row r="31" spans="1:5" x14ac:dyDescent="0.25">
      <c r="A31" s="193" t="s">
        <v>170</v>
      </c>
      <c r="B31" s="133"/>
      <c r="C31" s="133"/>
      <c r="D31" s="132"/>
      <c r="E31" s="133"/>
    </row>
    <row r="32" spans="1:5" x14ac:dyDescent="0.25">
      <c r="A32" s="133" t="s">
        <v>171</v>
      </c>
      <c r="B32" s="144" t="s">
        <v>94</v>
      </c>
      <c r="C32" s="133">
        <f>850000*1.5</f>
        <v>1275000</v>
      </c>
      <c r="D32" s="194">
        <f>C32/3700</f>
        <v>344.59459459459458</v>
      </c>
      <c r="E32" s="193">
        <f>C32/3200</f>
        <v>398.4375</v>
      </c>
    </row>
    <row r="33" spans="1:5" ht="12" x14ac:dyDescent="0.3">
      <c r="A33" s="133" t="s">
        <v>97</v>
      </c>
      <c r="B33" s="144" t="s">
        <v>94</v>
      </c>
      <c r="C33" s="134">
        <f>C32</f>
        <v>1275000</v>
      </c>
      <c r="D33" s="194">
        <f>C33/3700</f>
        <v>344.59459459459458</v>
      </c>
      <c r="E33" s="193">
        <f>C33/3200</f>
        <v>398.4375</v>
      </c>
    </row>
    <row r="34" spans="1:5" x14ac:dyDescent="0.25">
      <c r="A34" s="177" t="s">
        <v>111</v>
      </c>
      <c r="B34" s="178" t="s">
        <v>98</v>
      </c>
      <c r="C34" s="179">
        <v>1700000</v>
      </c>
      <c r="D34" s="180">
        <f t="shared" ref="D34:D35" si="6">C34/3700</f>
        <v>459.45945945945948</v>
      </c>
      <c r="E34" s="181">
        <f t="shared" ref="E34:E35" si="7">C34/3200</f>
        <v>531.25</v>
      </c>
    </row>
    <row r="35" spans="1:5" x14ac:dyDescent="0.25">
      <c r="A35" s="182" t="s">
        <v>112</v>
      </c>
      <c r="B35" s="183" t="s">
        <v>113</v>
      </c>
      <c r="C35" s="195">
        <f>C34-C33</f>
        <v>425000</v>
      </c>
      <c r="D35" s="196">
        <f t="shared" si="6"/>
        <v>114.86486486486487</v>
      </c>
      <c r="E35" s="197">
        <f t="shared" si="7"/>
        <v>132.8125</v>
      </c>
    </row>
    <row r="36" spans="1:5" ht="18.75" customHeight="1" x14ac:dyDescent="0.25">
      <c r="A36" s="168" t="s">
        <v>172</v>
      </c>
      <c r="B36" s="169"/>
      <c r="C36" s="169"/>
      <c r="D36" s="170"/>
      <c r="E36" s="168"/>
    </row>
    <row r="37" spans="1:5" x14ac:dyDescent="0.25">
      <c r="A37" s="143" t="s">
        <v>117</v>
      </c>
      <c r="B37" s="144" t="s">
        <v>94</v>
      </c>
      <c r="C37" s="133">
        <v>144473.98000000001</v>
      </c>
      <c r="D37" s="132">
        <f>C37/3700</f>
        <v>39.047021621621624</v>
      </c>
      <c r="E37" s="133">
        <f>C37/3200</f>
        <v>45.148118750000002</v>
      </c>
    </row>
    <row r="38" spans="1:5" x14ac:dyDescent="0.25">
      <c r="A38" s="143" t="s">
        <v>118</v>
      </c>
      <c r="B38" s="144" t="s">
        <v>94</v>
      </c>
      <c r="C38" s="133">
        <v>52109.956133973326</v>
      </c>
      <c r="D38" s="132">
        <f t="shared" ref="D38:D43" si="8">C38/3700</f>
        <v>14.0837719281009</v>
      </c>
      <c r="E38" s="133">
        <f t="shared" ref="E38:E43" si="9">C38/3200</f>
        <v>16.284361291866663</v>
      </c>
    </row>
    <row r="39" spans="1:5" x14ac:dyDescent="0.25">
      <c r="A39" s="143" t="s">
        <v>119</v>
      </c>
      <c r="B39" s="144" t="s">
        <v>94</v>
      </c>
      <c r="C39" s="133">
        <v>142502.56</v>
      </c>
      <c r="D39" s="132">
        <f t="shared" si="8"/>
        <v>38.514205405405406</v>
      </c>
      <c r="E39" s="133">
        <f t="shared" si="9"/>
        <v>44.532049999999998</v>
      </c>
    </row>
    <row r="40" spans="1:5" x14ac:dyDescent="0.25">
      <c r="A40" s="143" t="s">
        <v>120</v>
      </c>
      <c r="B40" s="144" t="s">
        <v>94</v>
      </c>
      <c r="C40" s="133">
        <v>52109.956133973326</v>
      </c>
      <c r="D40" s="132">
        <f t="shared" si="8"/>
        <v>14.0837719281009</v>
      </c>
      <c r="E40" s="133">
        <f t="shared" si="9"/>
        <v>16.284361291866663</v>
      </c>
    </row>
    <row r="41" spans="1:5" x14ac:dyDescent="0.25">
      <c r="A41" s="143" t="s">
        <v>121</v>
      </c>
      <c r="B41" s="144" t="s">
        <v>94</v>
      </c>
      <c r="C41" s="133">
        <v>43945.319459626699</v>
      </c>
      <c r="D41" s="132">
        <f t="shared" si="8"/>
        <v>11.877113367466675</v>
      </c>
      <c r="E41" s="133">
        <f t="shared" si="9"/>
        <v>13.732912331133344</v>
      </c>
    </row>
    <row r="42" spans="1:5" x14ac:dyDescent="0.25">
      <c r="A42" s="143" t="s">
        <v>122</v>
      </c>
      <c r="B42" s="144" t="s">
        <v>94</v>
      </c>
      <c r="C42" s="133">
        <v>142502.56</v>
      </c>
      <c r="D42" s="132">
        <f t="shared" si="8"/>
        <v>38.514205405405406</v>
      </c>
      <c r="E42" s="133">
        <f t="shared" si="9"/>
        <v>44.532049999999998</v>
      </c>
    </row>
    <row r="43" spans="1:5" ht="12" x14ac:dyDescent="0.3">
      <c r="A43" s="134" t="s">
        <v>97</v>
      </c>
      <c r="B43" s="135" t="s">
        <v>98</v>
      </c>
      <c r="C43" s="133">
        <f>C37+C38+C39+C40+C41+C42</f>
        <v>577644.33172757342</v>
      </c>
      <c r="D43" s="132">
        <f t="shared" si="8"/>
        <v>156.12008965610093</v>
      </c>
      <c r="E43" s="133">
        <f t="shared" si="9"/>
        <v>180.5138536648667</v>
      </c>
    </row>
    <row r="44" spans="1:5" x14ac:dyDescent="0.25">
      <c r="A44" s="123" t="s">
        <v>111</v>
      </c>
      <c r="B44" s="148" t="s">
        <v>98</v>
      </c>
      <c r="C44" s="137">
        <v>700000</v>
      </c>
      <c r="D44" s="136">
        <f t="shared" ref="D44:D45" si="10">C44/3700</f>
        <v>189.18918918918919</v>
      </c>
      <c r="E44" s="137">
        <f t="shared" ref="E44:E45" si="11">C44/3200</f>
        <v>218.75</v>
      </c>
    </row>
    <row r="45" spans="1:5" ht="15" customHeight="1" x14ac:dyDescent="0.3">
      <c r="A45" s="127" t="s">
        <v>112</v>
      </c>
      <c r="B45" s="148" t="s">
        <v>98</v>
      </c>
      <c r="C45" s="149">
        <f>C44-C43</f>
        <v>122355.66827242658</v>
      </c>
      <c r="D45" s="150">
        <f t="shared" si="10"/>
        <v>33.069099533088263</v>
      </c>
      <c r="E45" s="151">
        <f t="shared" si="11"/>
        <v>38.236146335133306</v>
      </c>
    </row>
  </sheetData>
  <sheetProtection formatCells="0" formatColumns="0" formatRows="0" insertColumns="0" insertRows="0" insertHyperlinks="0" deleteColumns="0" deleteRows="0" sort="0" autoFilter="0" pivotTables="0"/>
  <mergeCells count="2">
    <mergeCell ref="A1:E1"/>
    <mergeCell ref="A3:E3"/>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FF"/>
  </sheetPr>
  <dimension ref="A1:E43"/>
  <sheetViews>
    <sheetView zoomScale="120" zoomScaleNormal="120" workbookViewId="0">
      <pane xSplit="1" ySplit="3" topLeftCell="B13" activePane="bottomRight" state="frozen"/>
      <selection pane="topRight" activeCell="B1" sqref="B1"/>
      <selection pane="bottomLeft" activeCell="A4" sqref="A4"/>
      <selection pane="bottomRight" activeCell="F16" sqref="F16"/>
    </sheetView>
  </sheetViews>
  <sheetFormatPr baseColWidth="10" defaultColWidth="11.453125" defaultRowHeight="13" x14ac:dyDescent="0.3"/>
  <cols>
    <col min="1" max="1" width="31.81640625" style="15" customWidth="1"/>
    <col min="2" max="2" width="12.54296875" style="15" customWidth="1"/>
    <col min="3" max="3" width="17.81640625" style="15" customWidth="1"/>
    <col min="4" max="4" width="16" style="16" customWidth="1"/>
    <col min="5" max="5" width="20.26953125" style="15" customWidth="1"/>
    <col min="6" max="16384" width="11.453125" style="15"/>
  </cols>
  <sheetData>
    <row r="1" spans="1:5" ht="27" customHeight="1" thickBot="1" x14ac:dyDescent="0.35">
      <c r="A1" s="312" t="s">
        <v>173</v>
      </c>
      <c r="B1" s="313"/>
      <c r="C1" s="313"/>
      <c r="D1" s="313"/>
      <c r="E1" s="313"/>
    </row>
    <row r="2" spans="1:5" ht="16.5" customHeight="1" thickBot="1" x14ac:dyDescent="0.35">
      <c r="A2" s="328" t="s">
        <v>144</v>
      </c>
      <c r="B2" s="329"/>
      <c r="C2" s="329"/>
      <c r="D2" s="329"/>
      <c r="E2" s="330"/>
    </row>
    <row r="3" spans="1:5" ht="17.25" customHeight="1" x14ac:dyDescent="0.3">
      <c r="A3" s="96"/>
      <c r="B3" s="97" t="s">
        <v>87</v>
      </c>
      <c r="C3" s="98" t="s">
        <v>88</v>
      </c>
      <c r="D3" s="99" t="s">
        <v>89</v>
      </c>
      <c r="E3" s="100" t="s">
        <v>90</v>
      </c>
    </row>
    <row r="4" spans="1:5" ht="17.25" customHeight="1" x14ac:dyDescent="0.3">
      <c r="A4" s="101" t="s">
        <v>91</v>
      </c>
      <c r="B4" s="102"/>
      <c r="C4" s="103"/>
      <c r="D4" s="103"/>
      <c r="E4" s="103"/>
    </row>
    <row r="5" spans="1:5" ht="14.25" customHeight="1" x14ac:dyDescent="0.3">
      <c r="A5" s="104" t="s">
        <v>174</v>
      </c>
      <c r="B5" s="105"/>
      <c r="C5" s="105"/>
      <c r="D5" s="106"/>
      <c r="E5" s="105"/>
    </row>
    <row r="6" spans="1:5" ht="23.5" x14ac:dyDescent="0.3">
      <c r="A6" s="107" t="s">
        <v>175</v>
      </c>
      <c r="B6" s="108" t="s">
        <v>176</v>
      </c>
      <c r="C6" s="107">
        <v>1500000</v>
      </c>
      <c r="D6" s="109">
        <f>C6/3700</f>
        <v>405.40540540540542</v>
      </c>
      <c r="E6" s="107">
        <f>C6/3200</f>
        <v>468.75</v>
      </c>
    </row>
    <row r="7" spans="1:5" x14ac:dyDescent="0.3">
      <c r="A7" s="107" t="s">
        <v>95</v>
      </c>
      <c r="B7" s="110" t="s">
        <v>94</v>
      </c>
      <c r="C7" s="107">
        <v>144473.98000000001</v>
      </c>
      <c r="D7" s="109">
        <f>C7/3700</f>
        <v>39.047021621621624</v>
      </c>
      <c r="E7" s="107">
        <f>C7/3200</f>
        <v>45.148118750000002</v>
      </c>
    </row>
    <row r="8" spans="1:5" x14ac:dyDescent="0.3">
      <c r="A8" s="107" t="s">
        <v>96</v>
      </c>
      <c r="B8" s="110" t="s">
        <v>94</v>
      </c>
      <c r="C8" s="107">
        <v>43945.319459626655</v>
      </c>
      <c r="D8" s="109">
        <f>C8/3700</f>
        <v>11.877113367466663</v>
      </c>
      <c r="E8" s="107">
        <f>C8/3200</f>
        <v>13.732912331133329</v>
      </c>
    </row>
    <row r="9" spans="1:5" x14ac:dyDescent="0.3">
      <c r="A9" s="111" t="s">
        <v>97</v>
      </c>
      <c r="B9" s="112" t="s">
        <v>98</v>
      </c>
      <c r="C9" s="111">
        <f>SUM(C6:C8)</f>
        <v>1688419.2994596267</v>
      </c>
      <c r="D9" s="109">
        <f>C9/3700</f>
        <v>456.32954039449368</v>
      </c>
      <c r="E9" s="107">
        <f>C9/3200</f>
        <v>527.6310310811333</v>
      </c>
    </row>
    <row r="10" spans="1:5" x14ac:dyDescent="0.3">
      <c r="A10" s="113" t="s">
        <v>146</v>
      </c>
      <c r="B10" s="114"/>
      <c r="C10" s="114"/>
      <c r="D10" s="115"/>
      <c r="E10" s="116"/>
    </row>
    <row r="11" spans="1:5" x14ac:dyDescent="0.3">
      <c r="A11" s="117" t="s">
        <v>100</v>
      </c>
      <c r="B11" s="118" t="s">
        <v>101</v>
      </c>
      <c r="C11" s="117">
        <v>57482.191780821915</v>
      </c>
      <c r="D11" s="109">
        <f>C11/3700</f>
        <v>15.535727508330247</v>
      </c>
      <c r="E11" s="107">
        <f>C11/3200</f>
        <v>17.963184931506849</v>
      </c>
    </row>
    <row r="12" spans="1:5" x14ac:dyDescent="0.3">
      <c r="A12" s="117" t="s">
        <v>102</v>
      </c>
      <c r="B12" s="118" t="s">
        <v>101</v>
      </c>
      <c r="C12" s="117">
        <v>767.1232876712329</v>
      </c>
      <c r="D12" s="109">
        <f t="shared" ref="D12:D23" si="0">C12/3700</f>
        <v>0.2073306182895224</v>
      </c>
      <c r="E12" s="119">
        <f t="shared" ref="E12:E23" si="1">C12/3200</f>
        <v>0.23972602739726029</v>
      </c>
    </row>
    <row r="13" spans="1:5" x14ac:dyDescent="0.3">
      <c r="A13" s="117" t="s">
        <v>103</v>
      </c>
      <c r="B13" s="118" t="s">
        <v>101</v>
      </c>
      <c r="C13" s="117">
        <v>10520.547945205479</v>
      </c>
      <c r="D13" s="109">
        <f t="shared" si="0"/>
        <v>2.8433913365420214</v>
      </c>
      <c r="E13" s="107">
        <f t="shared" si="1"/>
        <v>3.2876712328767121</v>
      </c>
    </row>
    <row r="14" spans="1:5" x14ac:dyDescent="0.3">
      <c r="A14" s="117" t="s">
        <v>104</v>
      </c>
      <c r="B14" s="118" t="s">
        <v>101</v>
      </c>
      <c r="C14" s="117">
        <v>31347.608219178081</v>
      </c>
      <c r="D14" s="109">
        <f t="shared" si="0"/>
        <v>8.4723265457238064</v>
      </c>
      <c r="E14" s="107">
        <f t="shared" si="1"/>
        <v>9.7961275684931497</v>
      </c>
    </row>
    <row r="15" spans="1:5" x14ac:dyDescent="0.3">
      <c r="A15" s="117" t="s">
        <v>105</v>
      </c>
      <c r="B15" s="118" t="s">
        <v>101</v>
      </c>
      <c r="C15" s="117">
        <v>25643.835616438355</v>
      </c>
      <c r="D15" s="109">
        <f t="shared" si="0"/>
        <v>6.9307663828211767</v>
      </c>
      <c r="E15" s="107">
        <f t="shared" si="1"/>
        <v>8.0136986301369859</v>
      </c>
    </row>
    <row r="16" spans="1:5" x14ac:dyDescent="0.3">
      <c r="A16" s="117" t="s">
        <v>106</v>
      </c>
      <c r="B16" s="118" t="s">
        <v>101</v>
      </c>
      <c r="C16" s="117">
        <v>5109.58904109589</v>
      </c>
      <c r="D16" s="109">
        <f t="shared" si="0"/>
        <v>1.3809700111069974</v>
      </c>
      <c r="E16" s="107">
        <f t="shared" si="1"/>
        <v>1.5967465753424657</v>
      </c>
    </row>
    <row r="17" spans="1:5" x14ac:dyDescent="0.3">
      <c r="A17" s="117" t="s">
        <v>107</v>
      </c>
      <c r="B17" s="118" t="s">
        <v>101</v>
      </c>
      <c r="C17" s="117">
        <v>18410.95890410959</v>
      </c>
      <c r="D17" s="109">
        <f t="shared" si="0"/>
        <v>4.9759348389485378</v>
      </c>
      <c r="E17" s="107">
        <f t="shared" si="1"/>
        <v>5.7534246575342465</v>
      </c>
    </row>
    <row r="18" spans="1:5" x14ac:dyDescent="0.3">
      <c r="A18" s="117" t="s">
        <v>108</v>
      </c>
      <c r="B18" s="118" t="s">
        <v>101</v>
      </c>
      <c r="C18" s="117">
        <v>32876.71232876712</v>
      </c>
      <c r="D18" s="109">
        <f t="shared" si="0"/>
        <v>8.8855979266938157</v>
      </c>
      <c r="E18" s="107">
        <f t="shared" si="1"/>
        <v>10.273972602739725</v>
      </c>
    </row>
    <row r="19" spans="1:5" x14ac:dyDescent="0.3">
      <c r="A19" s="117" t="s">
        <v>109</v>
      </c>
      <c r="B19" s="118" t="s">
        <v>101</v>
      </c>
      <c r="C19" s="117">
        <v>6313.3616438356166</v>
      </c>
      <c r="D19" s="109">
        <f t="shared" si="0"/>
        <v>1.7063139577934099</v>
      </c>
      <c r="E19" s="107">
        <f t="shared" si="1"/>
        <v>1.9729255136986301</v>
      </c>
    </row>
    <row r="20" spans="1:5" s="1" customFormat="1" ht="14.25" customHeight="1" x14ac:dyDescent="0.3">
      <c r="A20" s="120" t="s">
        <v>97</v>
      </c>
      <c r="B20" s="121" t="s">
        <v>98</v>
      </c>
      <c r="C20" s="117">
        <f>SUM(C11:C19)</f>
        <v>188471.92876712326</v>
      </c>
      <c r="D20" s="122">
        <f t="shared" si="0"/>
        <v>50.93835912624953</v>
      </c>
      <c r="E20" s="117">
        <f t="shared" si="1"/>
        <v>58.897477739726021</v>
      </c>
    </row>
    <row r="21" spans="1:5" s="1" customFormat="1" ht="12.75" customHeight="1" x14ac:dyDescent="0.3">
      <c r="A21" s="120" t="s">
        <v>150</v>
      </c>
      <c r="B21" s="121"/>
      <c r="C21" s="117">
        <f>C9+C20</f>
        <v>1876891.2282267499</v>
      </c>
      <c r="D21" s="122">
        <f t="shared" si="0"/>
        <v>507.26789952074324</v>
      </c>
      <c r="E21" s="117">
        <f t="shared" si="1"/>
        <v>586.52850882085932</v>
      </c>
    </row>
    <row r="22" spans="1:5" s="1" customFormat="1" ht="18.75" customHeight="1" x14ac:dyDescent="0.3">
      <c r="A22" s="123" t="s">
        <v>136</v>
      </c>
      <c r="B22" s="124" t="s">
        <v>98</v>
      </c>
      <c r="C22" s="125">
        <v>2200000</v>
      </c>
      <c r="D22" s="126">
        <f t="shared" si="0"/>
        <v>594.59459459459458</v>
      </c>
      <c r="E22" s="123">
        <f t="shared" si="1"/>
        <v>687.5</v>
      </c>
    </row>
    <row r="23" spans="1:5" s="1" customFormat="1" ht="13.5" customHeight="1" x14ac:dyDescent="0.3">
      <c r="A23" s="127" t="s">
        <v>112</v>
      </c>
      <c r="B23" s="128" t="s">
        <v>113</v>
      </c>
      <c r="C23" s="129">
        <f>C22-C20-C9</f>
        <v>323108.77177325008</v>
      </c>
      <c r="D23" s="130">
        <f t="shared" si="0"/>
        <v>87.326695073851369</v>
      </c>
      <c r="E23" s="131">
        <f t="shared" si="1"/>
        <v>100.97149117914064</v>
      </c>
    </row>
    <row r="24" spans="1:5" s="1" customFormat="1" ht="14.25" customHeight="1" x14ac:dyDescent="0.3">
      <c r="A24" s="116" t="s">
        <v>177</v>
      </c>
      <c r="B24" s="114"/>
      <c r="C24" s="114"/>
      <c r="D24" s="115"/>
      <c r="E24" s="116"/>
    </row>
    <row r="25" spans="1:5" s="1" customFormat="1" ht="15" customHeight="1" x14ac:dyDescent="0.3">
      <c r="A25" s="107" t="s">
        <v>175</v>
      </c>
      <c r="B25" s="110" t="s">
        <v>176</v>
      </c>
      <c r="C25" s="107">
        <v>1500000</v>
      </c>
      <c r="D25" s="132">
        <f>C25/3700</f>
        <v>405.40540540540542</v>
      </c>
      <c r="E25" s="133">
        <f>C25/3200</f>
        <v>468.75</v>
      </c>
    </row>
    <row r="26" spans="1:5" s="1" customFormat="1" ht="13.5" customHeight="1" x14ac:dyDescent="0.3">
      <c r="A26" s="134" t="s">
        <v>97</v>
      </c>
      <c r="B26" s="135" t="s">
        <v>98</v>
      </c>
      <c r="C26" s="134">
        <f>C25</f>
        <v>1500000</v>
      </c>
      <c r="D26" s="132">
        <f t="shared" ref="D26" si="2">C26/3700</f>
        <v>405.40540540540542</v>
      </c>
      <c r="E26" s="133">
        <f t="shared" ref="E26:E28" si="3">C26/3200</f>
        <v>468.75</v>
      </c>
    </row>
    <row r="27" spans="1:5" s="1" customFormat="1" ht="18" customHeight="1" x14ac:dyDescent="0.3">
      <c r="A27" s="123" t="s">
        <v>111</v>
      </c>
      <c r="B27" s="124" t="s">
        <v>98</v>
      </c>
      <c r="C27" s="125">
        <v>1800000</v>
      </c>
      <c r="D27" s="136">
        <f>C27/3700</f>
        <v>486.48648648648651</v>
      </c>
      <c r="E27" s="137">
        <f t="shared" si="3"/>
        <v>562.5</v>
      </c>
    </row>
    <row r="28" spans="1:5" s="1" customFormat="1" ht="18.75" customHeight="1" x14ac:dyDescent="0.3">
      <c r="A28" s="127" t="s">
        <v>112</v>
      </c>
      <c r="B28" s="128" t="s">
        <v>113</v>
      </c>
      <c r="C28" s="129">
        <f>C27-C26</f>
        <v>300000</v>
      </c>
      <c r="D28" s="138">
        <f>C28/3700</f>
        <v>81.081081081081081</v>
      </c>
      <c r="E28" s="139">
        <f t="shared" si="3"/>
        <v>93.75</v>
      </c>
    </row>
    <row r="29" spans="1:5" x14ac:dyDescent="0.3">
      <c r="A29" s="113" t="s">
        <v>148</v>
      </c>
      <c r="B29" s="140"/>
      <c r="C29" s="140"/>
      <c r="D29" s="141"/>
      <c r="E29" s="142"/>
    </row>
    <row r="30" spans="1:5" s="1" customFormat="1" x14ac:dyDescent="0.3">
      <c r="A30" s="143" t="s">
        <v>117</v>
      </c>
      <c r="B30" s="144" t="s">
        <v>94</v>
      </c>
      <c r="C30" s="133">
        <v>144473.98000000001</v>
      </c>
      <c r="D30" s="132">
        <f>C30/3700</f>
        <v>39.047021621621624</v>
      </c>
      <c r="E30" s="133">
        <f>C30/3200</f>
        <v>45.148118750000002</v>
      </c>
    </row>
    <row r="31" spans="1:5" s="1" customFormat="1" x14ac:dyDescent="0.3">
      <c r="A31" s="143" t="s">
        <v>118</v>
      </c>
      <c r="B31" s="144" t="s">
        <v>94</v>
      </c>
      <c r="C31" s="133">
        <v>52109.956133973326</v>
      </c>
      <c r="D31" s="132">
        <f t="shared" ref="D31:D38" si="4">C31/3700</f>
        <v>14.0837719281009</v>
      </c>
      <c r="E31" s="133">
        <f t="shared" ref="E31:E35" si="5">C31/3200</f>
        <v>16.284361291866663</v>
      </c>
    </row>
    <row r="32" spans="1:5" s="1" customFormat="1" x14ac:dyDescent="0.3">
      <c r="A32" s="143" t="s">
        <v>119</v>
      </c>
      <c r="B32" s="144" t="s">
        <v>94</v>
      </c>
      <c r="C32" s="133">
        <v>142502.56</v>
      </c>
      <c r="D32" s="132">
        <f t="shared" si="4"/>
        <v>38.514205405405406</v>
      </c>
      <c r="E32" s="133">
        <f t="shared" si="5"/>
        <v>44.532049999999998</v>
      </c>
    </row>
    <row r="33" spans="1:5" s="1" customFormat="1" x14ac:dyDescent="0.3">
      <c r="A33" s="143" t="s">
        <v>120</v>
      </c>
      <c r="B33" s="144" t="s">
        <v>94</v>
      </c>
      <c r="C33" s="133">
        <v>52109.956133973326</v>
      </c>
      <c r="D33" s="132">
        <f t="shared" si="4"/>
        <v>14.0837719281009</v>
      </c>
      <c r="E33" s="133">
        <f t="shared" si="5"/>
        <v>16.284361291866663</v>
      </c>
    </row>
    <row r="34" spans="1:5" s="1" customFormat="1" x14ac:dyDescent="0.3">
      <c r="A34" s="143" t="s">
        <v>121</v>
      </c>
      <c r="B34" s="144" t="s">
        <v>94</v>
      </c>
      <c r="C34" s="133">
        <v>43945.319459626655</v>
      </c>
      <c r="D34" s="132">
        <f t="shared" si="4"/>
        <v>11.877113367466663</v>
      </c>
      <c r="E34" s="133">
        <f t="shared" si="5"/>
        <v>13.732912331133329</v>
      </c>
    </row>
    <row r="35" spans="1:5" s="1" customFormat="1" x14ac:dyDescent="0.3">
      <c r="A35" s="143" t="s">
        <v>122</v>
      </c>
      <c r="B35" s="144" t="s">
        <v>94</v>
      </c>
      <c r="C35" s="133">
        <f>142502.56/2</f>
        <v>71251.28</v>
      </c>
      <c r="D35" s="132">
        <f t="shared" si="4"/>
        <v>19.257102702702703</v>
      </c>
      <c r="E35" s="133">
        <f t="shared" si="5"/>
        <v>22.266024999999999</v>
      </c>
    </row>
    <row r="36" spans="1:5" s="20" customFormat="1" x14ac:dyDescent="0.3">
      <c r="A36" s="145" t="s">
        <v>97</v>
      </c>
      <c r="B36" s="146" t="s">
        <v>98</v>
      </c>
      <c r="C36" s="145">
        <f>C30+C31+C32+C33+C34+C35</f>
        <v>506393.05172757339</v>
      </c>
      <c r="D36" s="147">
        <f t="shared" si="4"/>
        <v>136.86298695339821</v>
      </c>
      <c r="E36" s="145">
        <f>C36/3200</f>
        <v>158.24782866486669</v>
      </c>
    </row>
    <row r="37" spans="1:5" s="1" customFormat="1" x14ac:dyDescent="0.3">
      <c r="A37" s="123" t="s">
        <v>111</v>
      </c>
      <c r="B37" s="148" t="s">
        <v>98</v>
      </c>
      <c r="C37" s="137">
        <v>700000</v>
      </c>
      <c r="D37" s="136">
        <f t="shared" si="4"/>
        <v>189.18918918918919</v>
      </c>
      <c r="E37" s="137">
        <f t="shared" ref="E37:E38" si="6">C37/3200</f>
        <v>218.75</v>
      </c>
    </row>
    <row r="38" spans="1:5" s="1" customFormat="1" ht="15" customHeight="1" x14ac:dyDescent="0.3">
      <c r="A38" s="127" t="s">
        <v>112</v>
      </c>
      <c r="B38" s="148" t="s">
        <v>98</v>
      </c>
      <c r="C38" s="149">
        <f>C37-C36</f>
        <v>193606.94827242661</v>
      </c>
      <c r="D38" s="150">
        <f t="shared" si="4"/>
        <v>52.326202235790973</v>
      </c>
      <c r="E38" s="151">
        <f t="shared" si="6"/>
        <v>60.502171335133319</v>
      </c>
    </row>
    <row r="39" spans="1:5" x14ac:dyDescent="0.3">
      <c r="A39" s="152" t="s">
        <v>151</v>
      </c>
      <c r="B39" s="153"/>
      <c r="C39" s="153"/>
      <c r="D39" s="154"/>
      <c r="E39" s="155"/>
    </row>
    <row r="40" spans="1:5" ht="19.5" customHeight="1" x14ac:dyDescent="0.3">
      <c r="A40" s="104"/>
      <c r="B40" s="156"/>
      <c r="C40" s="157" t="s">
        <v>88</v>
      </c>
      <c r="D40" s="158" t="s">
        <v>89</v>
      </c>
      <c r="E40" s="156" t="s">
        <v>90</v>
      </c>
    </row>
    <row r="41" spans="1:5" ht="15.75" customHeight="1" x14ac:dyDescent="0.3">
      <c r="A41" s="143" t="s">
        <v>178</v>
      </c>
      <c r="B41" s="159" t="s">
        <v>179</v>
      </c>
      <c r="C41" s="159">
        <v>2000000</v>
      </c>
      <c r="D41" s="160">
        <f>C41/3700</f>
        <v>540.54054054054052</v>
      </c>
      <c r="E41" s="161">
        <f>C41/3200</f>
        <v>625</v>
      </c>
    </row>
    <row r="42" spans="1:5" x14ac:dyDescent="0.3">
      <c r="A42" s="143" t="s">
        <v>180</v>
      </c>
      <c r="B42" s="159" t="s">
        <v>179</v>
      </c>
      <c r="C42" s="159">
        <v>2000000</v>
      </c>
      <c r="D42" s="160">
        <f t="shared" ref="D42" si="7">C42/3700</f>
        <v>540.54054054054052</v>
      </c>
      <c r="E42" s="161">
        <f t="shared" ref="E42" si="8">C42/3200</f>
        <v>625</v>
      </c>
    </row>
    <row r="43" spans="1:5" x14ac:dyDescent="0.3">
      <c r="A43" s="80"/>
      <c r="B43" s="81"/>
      <c r="C43" s="20"/>
      <c r="D43" s="82"/>
    </row>
  </sheetData>
  <sheetProtection formatCells="0" formatColumns="0" formatRows="0" insertColumns="0" insertRows="0" insertHyperlinks="0" deleteColumns="0" deleteRows="0" sort="0" autoFilter="0" pivotTables="0"/>
  <mergeCells count="2">
    <mergeCell ref="A1:E1"/>
    <mergeCell ref="A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80"/>
  <sheetViews>
    <sheetView showGridLines="0" topLeftCell="A43" zoomScale="55" zoomScaleNormal="55" zoomScalePageLayoutView="40" workbookViewId="0">
      <selection activeCell="J62" sqref="J62"/>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16" style="250" customWidth="1"/>
    <col min="5" max="5" width="87.1796875" style="162" customWidth="1"/>
    <col min="6" max="6" width="11.453125" style="251"/>
    <col min="7" max="16384" width="11.453125" style="162"/>
  </cols>
  <sheetData>
    <row r="1" spans="1:5" s="251" customFormat="1" ht="36" customHeight="1" thickBot="1" x14ac:dyDescent="0.3">
      <c r="A1" s="276" t="s">
        <v>16</v>
      </c>
      <c r="B1" s="277"/>
      <c r="C1" s="277"/>
      <c r="D1" s="277"/>
      <c r="E1" s="277"/>
    </row>
    <row r="2" spans="1:5" s="251" customFormat="1" ht="47.25" customHeight="1" x14ac:dyDescent="0.25">
      <c r="A2" s="278" t="s">
        <v>17</v>
      </c>
      <c r="B2" s="279"/>
      <c r="C2" s="279"/>
      <c r="D2" s="279"/>
      <c r="E2" s="280"/>
    </row>
    <row r="3" spans="1:5" s="251" customFormat="1" x14ac:dyDescent="0.25">
      <c r="A3" s="281"/>
      <c r="B3" s="263"/>
      <c r="C3" s="263"/>
      <c r="D3" s="263"/>
      <c r="E3" s="282"/>
    </row>
    <row r="4" spans="1:5" s="251" customFormat="1" x14ac:dyDescent="0.25">
      <c r="A4" s="281"/>
      <c r="B4" s="263"/>
      <c r="C4" s="263"/>
      <c r="D4" s="263"/>
      <c r="E4" s="282"/>
    </row>
    <row r="5" spans="1:5" s="251" customFormat="1" x14ac:dyDescent="0.25">
      <c r="A5" s="281"/>
      <c r="B5" s="263"/>
      <c r="C5" s="263"/>
      <c r="D5" s="263"/>
      <c r="E5" s="282"/>
    </row>
    <row r="6" spans="1:5" s="251" customFormat="1" x14ac:dyDescent="0.25">
      <c r="A6" s="281"/>
      <c r="B6" s="263"/>
      <c r="C6" s="263"/>
      <c r="D6" s="263"/>
      <c r="E6" s="282"/>
    </row>
    <row r="7" spans="1:5" s="251" customFormat="1" x14ac:dyDescent="0.25">
      <c r="A7" s="281"/>
      <c r="B7" s="263"/>
      <c r="C7" s="263"/>
      <c r="D7" s="263"/>
      <c r="E7" s="282"/>
    </row>
    <row r="8" spans="1:5" s="251" customFormat="1" x14ac:dyDescent="0.25">
      <c r="A8" s="281"/>
      <c r="B8" s="263"/>
      <c r="C8" s="263"/>
      <c r="D8" s="263"/>
      <c r="E8" s="282"/>
    </row>
    <row r="9" spans="1:5" s="251" customFormat="1" x14ac:dyDescent="0.25">
      <c r="A9" s="281"/>
      <c r="B9" s="263"/>
      <c r="C9" s="263"/>
      <c r="D9" s="263"/>
      <c r="E9" s="282"/>
    </row>
    <row r="10" spans="1:5" s="251" customFormat="1" x14ac:dyDescent="0.25">
      <c r="A10" s="281"/>
      <c r="B10" s="263"/>
      <c r="C10" s="263"/>
      <c r="D10" s="263"/>
      <c r="E10" s="282"/>
    </row>
    <row r="11" spans="1:5" s="251" customFormat="1" x14ac:dyDescent="0.25">
      <c r="A11" s="281"/>
      <c r="B11" s="263"/>
      <c r="C11" s="263"/>
      <c r="D11" s="263"/>
      <c r="E11" s="282"/>
    </row>
    <row r="12" spans="1:5" s="251" customFormat="1" x14ac:dyDescent="0.25">
      <c r="A12" s="281"/>
      <c r="B12" s="263"/>
      <c r="C12" s="263"/>
      <c r="D12" s="263"/>
      <c r="E12" s="282"/>
    </row>
    <row r="13" spans="1:5" s="251" customFormat="1" x14ac:dyDescent="0.25">
      <c r="A13" s="281"/>
      <c r="B13" s="263"/>
      <c r="C13" s="263"/>
      <c r="D13" s="263"/>
      <c r="E13" s="282"/>
    </row>
    <row r="14" spans="1:5" s="251" customFormat="1" x14ac:dyDescent="0.25">
      <c r="A14" s="281"/>
      <c r="B14" s="263"/>
      <c r="C14" s="263"/>
      <c r="D14" s="263"/>
      <c r="E14" s="282"/>
    </row>
    <row r="15" spans="1:5" s="251" customFormat="1" x14ac:dyDescent="0.25">
      <c r="A15" s="281"/>
      <c r="B15" s="263"/>
      <c r="C15" s="263"/>
      <c r="D15" s="263"/>
      <c r="E15" s="282"/>
    </row>
    <row r="16" spans="1:5" s="251" customFormat="1" x14ac:dyDescent="0.25">
      <c r="A16" s="281"/>
      <c r="B16" s="263"/>
      <c r="C16" s="263"/>
      <c r="D16" s="263"/>
      <c r="E16" s="282"/>
    </row>
    <row r="17" spans="1:5" s="251" customFormat="1" x14ac:dyDescent="0.25">
      <c r="A17" s="281"/>
      <c r="B17" s="263"/>
      <c r="C17" s="263"/>
      <c r="D17" s="263"/>
      <c r="E17" s="282"/>
    </row>
    <row r="18" spans="1:5" s="251" customFormat="1" x14ac:dyDescent="0.25">
      <c r="A18" s="281"/>
      <c r="B18" s="263"/>
      <c r="C18" s="263"/>
      <c r="D18" s="263"/>
      <c r="E18" s="282"/>
    </row>
    <row r="19" spans="1:5" s="251" customFormat="1" x14ac:dyDescent="0.25">
      <c r="A19" s="281"/>
      <c r="B19" s="263"/>
      <c r="C19" s="263"/>
      <c r="D19" s="263"/>
      <c r="E19" s="282"/>
    </row>
    <row r="20" spans="1:5" s="251" customFormat="1" x14ac:dyDescent="0.25">
      <c r="A20" s="281"/>
      <c r="B20" s="263"/>
      <c r="C20" s="263"/>
      <c r="D20" s="263"/>
      <c r="E20" s="282"/>
    </row>
    <row r="21" spans="1:5" s="251" customFormat="1" x14ac:dyDescent="0.25">
      <c r="A21" s="281"/>
      <c r="B21" s="263"/>
      <c r="C21" s="263"/>
      <c r="D21" s="263"/>
      <c r="E21" s="282"/>
    </row>
    <row r="22" spans="1:5" s="251" customFormat="1" x14ac:dyDescent="0.25">
      <c r="A22" s="281"/>
      <c r="B22" s="263"/>
      <c r="C22" s="263"/>
      <c r="D22" s="263"/>
      <c r="E22" s="282"/>
    </row>
    <row r="23" spans="1:5" s="251" customFormat="1" x14ac:dyDescent="0.25">
      <c r="A23" s="281"/>
      <c r="B23" s="263"/>
      <c r="C23" s="263"/>
      <c r="D23" s="263"/>
      <c r="E23" s="282"/>
    </row>
    <row r="24" spans="1:5" s="251" customFormat="1" x14ac:dyDescent="0.25">
      <c r="A24" s="281"/>
      <c r="B24" s="263"/>
      <c r="C24" s="263"/>
      <c r="D24" s="263"/>
      <c r="E24" s="282"/>
    </row>
    <row r="25" spans="1:5" s="251" customFormat="1" x14ac:dyDescent="0.25">
      <c r="A25" s="281"/>
      <c r="B25" s="263"/>
      <c r="C25" s="263"/>
      <c r="D25" s="263"/>
      <c r="E25" s="282"/>
    </row>
    <row r="26" spans="1:5" s="251" customFormat="1" x14ac:dyDescent="0.25">
      <c r="A26" s="281"/>
      <c r="B26" s="263"/>
      <c r="C26" s="263"/>
      <c r="D26" s="263"/>
      <c r="E26" s="282"/>
    </row>
    <row r="27" spans="1:5" s="251" customFormat="1" x14ac:dyDescent="0.25">
      <c r="A27" s="281"/>
      <c r="B27" s="263"/>
      <c r="C27" s="263"/>
      <c r="D27" s="263"/>
      <c r="E27" s="282"/>
    </row>
    <row r="28" spans="1:5" s="251" customFormat="1" x14ac:dyDescent="0.25">
      <c r="A28" s="281"/>
      <c r="B28" s="263"/>
      <c r="C28" s="263"/>
      <c r="D28" s="263"/>
      <c r="E28" s="282"/>
    </row>
    <row r="29" spans="1:5" s="251" customFormat="1" x14ac:dyDescent="0.25">
      <c r="A29" s="281"/>
      <c r="B29" s="263"/>
      <c r="C29" s="263"/>
      <c r="D29" s="263"/>
      <c r="E29" s="282"/>
    </row>
    <row r="30" spans="1:5" s="251" customFormat="1" x14ac:dyDescent="0.25">
      <c r="A30" s="281"/>
      <c r="B30" s="263"/>
      <c r="C30" s="263"/>
      <c r="D30" s="263"/>
      <c r="E30" s="282"/>
    </row>
    <row r="31" spans="1:5" s="251" customFormat="1" x14ac:dyDescent="0.25">
      <c r="A31" s="281"/>
      <c r="B31" s="263"/>
      <c r="C31" s="263"/>
      <c r="D31" s="263"/>
      <c r="E31" s="282"/>
    </row>
    <row r="32" spans="1:5" s="251" customFormat="1" x14ac:dyDescent="0.25">
      <c r="A32" s="281"/>
      <c r="B32" s="263"/>
      <c r="C32" s="263"/>
      <c r="D32" s="263"/>
      <c r="E32" s="282"/>
    </row>
    <row r="33" spans="1:5" s="251" customFormat="1" x14ac:dyDescent="0.25">
      <c r="A33" s="281"/>
      <c r="B33" s="263"/>
      <c r="C33" s="263"/>
      <c r="D33" s="263"/>
      <c r="E33" s="282"/>
    </row>
    <row r="34" spans="1:5" s="251" customFormat="1" x14ac:dyDescent="0.25">
      <c r="A34" s="281"/>
      <c r="B34" s="263"/>
      <c r="C34" s="263"/>
      <c r="D34" s="263"/>
      <c r="E34" s="282"/>
    </row>
    <row r="35" spans="1:5" s="251" customFormat="1" x14ac:dyDescent="0.25">
      <c r="A35" s="281"/>
      <c r="B35" s="263"/>
      <c r="C35" s="263"/>
      <c r="D35" s="263"/>
      <c r="E35" s="282"/>
    </row>
    <row r="36" spans="1:5" s="251" customFormat="1" x14ac:dyDescent="0.25">
      <c r="A36" s="281"/>
      <c r="B36" s="263"/>
      <c r="C36" s="263"/>
      <c r="D36" s="263"/>
      <c r="E36" s="282"/>
    </row>
    <row r="37" spans="1:5" s="251" customFormat="1" x14ac:dyDescent="0.25">
      <c r="A37" s="281"/>
      <c r="B37" s="263"/>
      <c r="C37" s="263"/>
      <c r="D37" s="263"/>
      <c r="E37" s="282"/>
    </row>
    <row r="38" spans="1:5" s="251" customFormat="1" x14ac:dyDescent="0.25">
      <c r="A38" s="281"/>
      <c r="B38" s="263"/>
      <c r="C38" s="263"/>
      <c r="D38" s="263"/>
      <c r="E38" s="282"/>
    </row>
    <row r="39" spans="1:5" s="251" customFormat="1" x14ac:dyDescent="0.25">
      <c r="A39" s="281"/>
      <c r="B39" s="263"/>
      <c r="C39" s="263"/>
      <c r="D39" s="263"/>
      <c r="E39" s="282"/>
    </row>
    <row r="40" spans="1:5" s="251" customFormat="1" x14ac:dyDescent="0.25">
      <c r="A40" s="281"/>
      <c r="B40" s="263"/>
      <c r="C40" s="263"/>
      <c r="D40" s="263"/>
      <c r="E40" s="282"/>
    </row>
    <row r="41" spans="1:5" s="251" customFormat="1" x14ac:dyDescent="0.25">
      <c r="A41" s="281"/>
      <c r="B41" s="263"/>
      <c r="C41" s="263"/>
      <c r="D41" s="263"/>
      <c r="E41" s="282"/>
    </row>
    <row r="42" spans="1:5" s="251" customFormat="1" x14ac:dyDescent="0.25">
      <c r="A42" s="281"/>
      <c r="B42" s="263"/>
      <c r="C42" s="263"/>
      <c r="D42" s="263"/>
      <c r="E42" s="282"/>
    </row>
    <row r="43" spans="1:5" s="251" customFormat="1" x14ac:dyDescent="0.25">
      <c r="A43" s="281"/>
      <c r="B43" s="263"/>
      <c r="C43" s="263"/>
      <c r="D43" s="263"/>
      <c r="E43" s="282"/>
    </row>
    <row r="44" spans="1:5" s="251" customFormat="1" x14ac:dyDescent="0.25">
      <c r="A44" s="281"/>
      <c r="B44" s="263"/>
      <c r="C44" s="263"/>
      <c r="D44" s="263"/>
      <c r="E44" s="282"/>
    </row>
    <row r="45" spans="1:5" s="251" customFormat="1" x14ac:dyDescent="0.25">
      <c r="A45" s="281"/>
      <c r="B45" s="263"/>
      <c r="C45" s="263"/>
      <c r="D45" s="263"/>
      <c r="E45" s="282"/>
    </row>
    <row r="46" spans="1:5" s="251" customFormat="1" ht="12" thickBot="1" x14ac:dyDescent="0.3">
      <c r="A46" s="283"/>
      <c r="B46" s="284"/>
      <c r="C46" s="284"/>
      <c r="D46" s="284"/>
      <c r="E46" s="285"/>
    </row>
    <row r="47" spans="1:5" s="251" customFormat="1" ht="18" customHeight="1" x14ac:dyDescent="0.25">
      <c r="A47" s="286"/>
      <c r="B47" s="287"/>
      <c r="C47" s="287"/>
      <c r="D47" s="287"/>
      <c r="E47" s="288"/>
    </row>
    <row r="48" spans="1:5" ht="12.65" customHeight="1" x14ac:dyDescent="0.25">
      <c r="A48" s="289"/>
      <c r="B48" s="290"/>
      <c r="C48" s="290"/>
      <c r="D48" s="290"/>
      <c r="E48" s="291"/>
    </row>
    <row r="49" spans="1:5" ht="12.65" customHeight="1" x14ac:dyDescent="0.25">
      <c r="A49" s="289"/>
      <c r="B49" s="290"/>
      <c r="C49" s="290"/>
      <c r="D49" s="290"/>
      <c r="E49" s="291"/>
    </row>
    <row r="50" spans="1:5" ht="12.65" customHeight="1" x14ac:dyDescent="0.25">
      <c r="A50" s="289"/>
      <c r="B50" s="290"/>
      <c r="C50" s="290"/>
      <c r="D50" s="290"/>
      <c r="E50" s="291"/>
    </row>
    <row r="51" spans="1:5" ht="12.65" customHeight="1" x14ac:dyDescent="0.25">
      <c r="A51" s="289"/>
      <c r="B51" s="290"/>
      <c r="C51" s="290"/>
      <c r="D51" s="290"/>
      <c r="E51" s="291"/>
    </row>
    <row r="52" spans="1:5" ht="12.65" customHeight="1" x14ac:dyDescent="0.25">
      <c r="A52" s="289"/>
      <c r="B52" s="290"/>
      <c r="C52" s="290"/>
      <c r="D52" s="290"/>
      <c r="E52" s="291"/>
    </row>
    <row r="53" spans="1:5" ht="12.65" customHeight="1" x14ac:dyDescent="0.25">
      <c r="A53" s="289"/>
      <c r="B53" s="290"/>
      <c r="C53" s="290"/>
      <c r="D53" s="290"/>
      <c r="E53" s="291"/>
    </row>
    <row r="54" spans="1:5" ht="12.65" customHeight="1" x14ac:dyDescent="0.25">
      <c r="A54" s="289"/>
      <c r="B54" s="290"/>
      <c r="C54" s="290"/>
      <c r="D54" s="290"/>
      <c r="E54" s="291"/>
    </row>
    <row r="55" spans="1:5" ht="12.65" customHeight="1" x14ac:dyDescent="0.25">
      <c r="A55" s="289"/>
      <c r="B55" s="290"/>
      <c r="C55" s="290"/>
      <c r="D55" s="290"/>
      <c r="E55" s="291"/>
    </row>
    <row r="56" spans="1:5" ht="12.65" customHeight="1" x14ac:dyDescent="0.25">
      <c r="A56" s="289"/>
      <c r="B56" s="290"/>
      <c r="C56" s="290"/>
      <c r="D56" s="290"/>
      <c r="E56" s="291"/>
    </row>
    <row r="57" spans="1:5" ht="12.65" customHeight="1" x14ac:dyDescent="0.25">
      <c r="A57" s="289"/>
      <c r="B57" s="290"/>
      <c r="C57" s="290"/>
      <c r="D57" s="290"/>
      <c r="E57" s="291"/>
    </row>
    <row r="58" spans="1:5" ht="12.65" customHeight="1" x14ac:dyDescent="0.25">
      <c r="A58" s="289"/>
      <c r="B58" s="290"/>
      <c r="C58" s="290"/>
      <c r="D58" s="290"/>
      <c r="E58" s="291"/>
    </row>
    <row r="59" spans="1:5" ht="12.65" customHeight="1" x14ac:dyDescent="0.25">
      <c r="A59" s="289"/>
      <c r="B59" s="290"/>
      <c r="C59" s="290"/>
      <c r="D59" s="290"/>
      <c r="E59" s="291"/>
    </row>
    <row r="60" spans="1:5" ht="12.65" customHeight="1" x14ac:dyDescent="0.25">
      <c r="A60" s="289"/>
      <c r="B60" s="290"/>
      <c r="C60" s="290"/>
      <c r="D60" s="290"/>
      <c r="E60" s="291"/>
    </row>
    <row r="61" spans="1:5" ht="12.65" customHeight="1" x14ac:dyDescent="0.25">
      <c r="A61" s="289"/>
      <c r="B61" s="290"/>
      <c r="C61" s="290"/>
      <c r="D61" s="290"/>
      <c r="E61" s="291"/>
    </row>
    <row r="62" spans="1:5" ht="12.65" customHeight="1" x14ac:dyDescent="0.25">
      <c r="A62" s="289"/>
      <c r="B62" s="290"/>
      <c r="C62" s="290"/>
      <c r="D62" s="290"/>
      <c r="E62" s="291"/>
    </row>
    <row r="63" spans="1:5" ht="12.65" customHeight="1" x14ac:dyDescent="0.25">
      <c r="A63" s="289"/>
      <c r="B63" s="290"/>
      <c r="C63" s="290"/>
      <c r="D63" s="290"/>
      <c r="E63" s="291"/>
    </row>
    <row r="64" spans="1:5" ht="12.65" customHeight="1" x14ac:dyDescent="0.25">
      <c r="A64" s="289"/>
      <c r="B64" s="290"/>
      <c r="C64" s="290"/>
      <c r="D64" s="290"/>
      <c r="E64" s="291"/>
    </row>
    <row r="65" spans="1:5" ht="12.65" customHeight="1" x14ac:dyDescent="0.25">
      <c r="A65" s="289"/>
      <c r="B65" s="290"/>
      <c r="C65" s="290"/>
      <c r="D65" s="290"/>
      <c r="E65" s="291"/>
    </row>
    <row r="66" spans="1:5" ht="12.65" customHeight="1" x14ac:dyDescent="0.25">
      <c r="A66" s="289"/>
      <c r="B66" s="290"/>
      <c r="C66" s="290"/>
      <c r="D66" s="290"/>
      <c r="E66" s="291"/>
    </row>
    <row r="67" spans="1:5" ht="12.65" customHeight="1" x14ac:dyDescent="0.25">
      <c r="A67" s="289"/>
      <c r="B67" s="290"/>
      <c r="C67" s="290"/>
      <c r="D67" s="290"/>
      <c r="E67" s="291"/>
    </row>
    <row r="68" spans="1:5" ht="12.65" customHeight="1" x14ac:dyDescent="0.25">
      <c r="A68" s="289"/>
      <c r="B68" s="290"/>
      <c r="C68" s="290"/>
      <c r="D68" s="290"/>
      <c r="E68" s="291"/>
    </row>
    <row r="69" spans="1:5" ht="12.65" customHeight="1" x14ac:dyDescent="0.25">
      <c r="A69" s="289"/>
      <c r="B69" s="290"/>
      <c r="C69" s="290"/>
      <c r="D69" s="290"/>
      <c r="E69" s="291"/>
    </row>
    <row r="70" spans="1:5" ht="12.65" customHeight="1" x14ac:dyDescent="0.25">
      <c r="A70" s="289"/>
      <c r="B70" s="290"/>
      <c r="C70" s="290"/>
      <c r="D70" s="290"/>
      <c r="E70" s="291"/>
    </row>
    <row r="71" spans="1:5" ht="12.65" customHeight="1" x14ac:dyDescent="0.25">
      <c r="A71" s="289"/>
      <c r="B71" s="290"/>
      <c r="C71" s="290"/>
      <c r="D71" s="290"/>
      <c r="E71" s="291"/>
    </row>
    <row r="72" spans="1:5" ht="12.65" customHeight="1" x14ac:dyDescent="0.25">
      <c r="A72" s="289"/>
      <c r="B72" s="290"/>
      <c r="C72" s="290"/>
      <c r="D72" s="290"/>
      <c r="E72" s="291"/>
    </row>
    <row r="73" spans="1:5" ht="12.65" customHeight="1" x14ac:dyDescent="0.25">
      <c r="A73" s="289"/>
      <c r="B73" s="290"/>
      <c r="C73" s="290"/>
      <c r="D73" s="290"/>
      <c r="E73" s="291"/>
    </row>
    <row r="74" spans="1:5" ht="12.65" customHeight="1" x14ac:dyDescent="0.25">
      <c r="A74" s="289"/>
      <c r="B74" s="290"/>
      <c r="C74" s="290"/>
      <c r="D74" s="290"/>
      <c r="E74" s="291"/>
    </row>
    <row r="75" spans="1:5" ht="12.65" customHeight="1" x14ac:dyDescent="0.25">
      <c r="A75" s="289"/>
      <c r="B75" s="290"/>
      <c r="C75" s="290"/>
      <c r="D75" s="290"/>
      <c r="E75" s="291"/>
    </row>
    <row r="76" spans="1:5" ht="12.65" customHeight="1" x14ac:dyDescent="0.25">
      <c r="A76" s="289"/>
      <c r="B76" s="290"/>
      <c r="C76" s="290"/>
      <c r="D76" s="290"/>
      <c r="E76" s="291"/>
    </row>
    <row r="77" spans="1:5" ht="12.65" customHeight="1" x14ac:dyDescent="0.25">
      <c r="A77" s="289"/>
      <c r="B77" s="290"/>
      <c r="C77" s="290"/>
      <c r="D77" s="290"/>
      <c r="E77" s="291"/>
    </row>
    <row r="78" spans="1:5" ht="12.65" customHeight="1" x14ac:dyDescent="0.25">
      <c r="A78" s="289"/>
      <c r="B78" s="290"/>
      <c r="C78" s="290"/>
      <c r="D78" s="290"/>
      <c r="E78" s="291"/>
    </row>
    <row r="79" spans="1:5" ht="12.65" customHeight="1" x14ac:dyDescent="0.25">
      <c r="A79" s="289"/>
      <c r="B79" s="290"/>
      <c r="C79" s="290"/>
      <c r="D79" s="290"/>
      <c r="E79" s="291"/>
    </row>
    <row r="80" spans="1:5" ht="12.65" customHeight="1" thickBot="1" x14ac:dyDescent="0.3">
      <c r="A80" s="292"/>
      <c r="B80" s="293"/>
      <c r="C80" s="293"/>
      <c r="D80" s="293"/>
      <c r="E80" s="294"/>
    </row>
  </sheetData>
  <sheetProtection formatCells="0" formatColumns="0" formatRows="0" insertColumns="0" insertRows="0" insertHyperlinks="0" deleteColumns="0" deleteRows="0" sort="0" autoFilter="0" pivotTables="0"/>
  <mergeCells count="3">
    <mergeCell ref="A1:E1"/>
    <mergeCell ref="A2:E46"/>
    <mergeCell ref="A47:E80"/>
  </mergeCells>
  <pageMargins left="0.7" right="0.7" top="0.75" bottom="0.75" header="0.3" footer="0.3"/>
  <pageSetup paperSize="9" orientation="portrait" r:id="rId1"/>
  <headerFooter>
    <oddFooter>&amp;LCod: G.02.06_F-65_CO&amp;CVersión:02&amp;RFecha:Ene-24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D28"/>
  <sheetViews>
    <sheetView showGridLines="0" zoomScale="110" zoomScaleNormal="110" workbookViewId="0">
      <selection activeCell="B8" sqref="B8:D8"/>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21.81640625" style="250" customWidth="1"/>
    <col min="5" max="16384" width="11.453125" style="162"/>
  </cols>
  <sheetData>
    <row r="1" spans="1:4" ht="19.5" customHeight="1" thickBot="1" x14ac:dyDescent="0.3">
      <c r="A1" s="296" t="s">
        <v>18</v>
      </c>
      <c r="B1" s="297"/>
      <c r="C1" s="297"/>
      <c r="D1" s="297"/>
    </row>
    <row r="2" spans="1:4" ht="31.5" customHeight="1" thickBot="1" x14ac:dyDescent="0.3">
      <c r="A2" s="298" t="s">
        <v>19</v>
      </c>
      <c r="B2" s="277"/>
      <c r="C2" s="277"/>
      <c r="D2" s="277"/>
    </row>
    <row r="3" spans="1:4" x14ac:dyDescent="0.25">
      <c r="A3" s="249" t="s">
        <v>20</v>
      </c>
      <c r="B3" s="299" t="s">
        <v>21</v>
      </c>
      <c r="C3" s="299"/>
      <c r="D3" s="299"/>
    </row>
    <row r="4" spans="1:4" ht="57" customHeight="1" x14ac:dyDescent="0.25">
      <c r="A4" s="247" t="s">
        <v>22</v>
      </c>
      <c r="B4" s="295">
        <v>334000</v>
      </c>
      <c r="C4" s="295"/>
      <c r="D4" s="295"/>
    </row>
    <row r="5" spans="1:4" ht="54.75" customHeight="1" x14ac:dyDescent="0.25">
      <c r="A5" s="247" t="s">
        <v>23</v>
      </c>
      <c r="B5" s="295">
        <v>154000</v>
      </c>
      <c r="C5" s="295"/>
      <c r="D5" s="295"/>
    </row>
    <row r="6" spans="1:4" ht="78" customHeight="1" thickBot="1" x14ac:dyDescent="0.3">
      <c r="A6" s="248" t="s">
        <v>24</v>
      </c>
      <c r="B6" s="295">
        <v>334000</v>
      </c>
      <c r="C6" s="295"/>
      <c r="D6" s="295"/>
    </row>
    <row r="7" spans="1:4" ht="69" customHeight="1" thickBot="1" x14ac:dyDescent="0.3">
      <c r="A7" s="248" t="s">
        <v>25</v>
      </c>
      <c r="B7" s="295" t="s">
        <v>26</v>
      </c>
      <c r="C7" s="295"/>
      <c r="D7" s="295"/>
    </row>
    <row r="8" spans="1:4" ht="49.5" customHeight="1" thickBot="1" x14ac:dyDescent="0.3">
      <c r="A8" s="248" t="s">
        <v>27</v>
      </c>
      <c r="B8" s="295" t="s">
        <v>28</v>
      </c>
      <c r="C8" s="295"/>
      <c r="D8" s="295"/>
    </row>
    <row r="9" spans="1:4" ht="18" customHeight="1" x14ac:dyDescent="0.25"/>
    <row r="10" spans="1:4" ht="18" customHeight="1" x14ac:dyDescent="0.25"/>
    <row r="11" spans="1:4" ht="18" customHeight="1" x14ac:dyDescent="0.25"/>
    <row r="12" spans="1:4" ht="18" customHeight="1" x14ac:dyDescent="0.25"/>
    <row r="13" spans="1:4" ht="18" customHeight="1" x14ac:dyDescent="0.25"/>
    <row r="14" spans="1:4" ht="18" customHeight="1" x14ac:dyDescent="0.25"/>
    <row r="15" spans="1:4" ht="18" customHeight="1" x14ac:dyDescent="0.25"/>
    <row r="16" spans="1:4"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5" customHeight="1" x14ac:dyDescent="0.25"/>
  </sheetData>
  <sheetProtection formatCells="0" formatColumns="0" formatRows="0" insertColumns="0" insertRows="0" insertHyperlinks="0" deleteColumns="0" deleteRows="0" sort="0" autoFilter="0" pivotTables="0"/>
  <mergeCells count="8">
    <mergeCell ref="B7:D7"/>
    <mergeCell ref="B8:D8"/>
    <mergeCell ref="A1:D1"/>
    <mergeCell ref="B6:D6"/>
    <mergeCell ref="A2:D2"/>
    <mergeCell ref="B3:D3"/>
    <mergeCell ref="B4:D4"/>
    <mergeCell ref="B5:D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18"/>
  <sheetViews>
    <sheetView workbookViewId="0">
      <selection activeCell="C9" sqref="C9"/>
    </sheetView>
  </sheetViews>
  <sheetFormatPr baseColWidth="10" defaultColWidth="11.453125" defaultRowHeight="14.5" x14ac:dyDescent="0.35"/>
  <cols>
    <col min="1" max="1" width="3.453125" style="52" customWidth="1"/>
    <col min="2" max="2" width="33.54296875" style="52" customWidth="1"/>
    <col min="3" max="3" width="20.26953125" style="52" customWidth="1"/>
    <col min="4" max="4" width="13.1796875" style="52" customWidth="1"/>
    <col min="5" max="5" width="12.81640625" style="52" customWidth="1"/>
    <col min="6" max="7" width="8.26953125" style="52" customWidth="1"/>
    <col min="8" max="8" width="17.81640625" style="52" customWidth="1"/>
    <col min="9" max="9" width="17" style="52" customWidth="1"/>
    <col min="10" max="10" width="15.54296875" style="52" customWidth="1"/>
    <col min="11" max="16384" width="11.453125" style="52"/>
  </cols>
  <sheetData>
    <row r="2" spans="2:11" x14ac:dyDescent="0.35">
      <c r="B2" s="300" t="s">
        <v>29</v>
      </c>
      <c r="C2" s="300"/>
      <c r="D2" s="300"/>
      <c r="E2" s="300"/>
      <c r="F2" s="300"/>
      <c r="G2" s="300"/>
      <c r="H2" s="300"/>
      <c r="I2" s="300"/>
      <c r="J2" s="300"/>
      <c r="K2" s="243"/>
    </row>
    <row r="3" spans="2:11" ht="22.5" customHeight="1" thickBot="1" x14ac:dyDescent="0.4">
      <c r="B3" s="300" t="s">
        <v>7</v>
      </c>
      <c r="C3" s="300"/>
      <c r="D3" s="300"/>
      <c r="E3" s="300"/>
      <c r="F3" s="300"/>
      <c r="G3" s="300"/>
      <c r="H3" s="300"/>
      <c r="I3" s="300"/>
      <c r="J3" s="300"/>
      <c r="K3" s="243"/>
    </row>
    <row r="4" spans="2:11" ht="15.75" customHeight="1" thickBot="1" x14ac:dyDescent="0.4">
      <c r="B4" s="303" t="s">
        <v>30</v>
      </c>
      <c r="C4" s="303" t="s">
        <v>31</v>
      </c>
      <c r="D4" s="303" t="s">
        <v>32</v>
      </c>
      <c r="E4" s="303" t="s">
        <v>33</v>
      </c>
      <c r="F4" s="305" t="s">
        <v>34</v>
      </c>
      <c r="G4" s="306"/>
      <c r="H4" s="301" t="s">
        <v>35</v>
      </c>
      <c r="I4" s="301" t="s">
        <v>36</v>
      </c>
      <c r="J4" s="301" t="s">
        <v>37</v>
      </c>
      <c r="K4" s="243"/>
    </row>
    <row r="5" spans="2:11" ht="15" thickBot="1" x14ac:dyDescent="0.4">
      <c r="B5" s="304"/>
      <c r="C5" s="304"/>
      <c r="D5" s="304"/>
      <c r="E5" s="304"/>
      <c r="F5" s="232" t="s">
        <v>38</v>
      </c>
      <c r="G5" s="232" t="s">
        <v>39</v>
      </c>
      <c r="H5" s="302"/>
      <c r="I5" s="302"/>
      <c r="J5" s="302"/>
      <c r="K5" s="243"/>
    </row>
    <row r="6" spans="2:11" ht="23.5" thickBot="1" x14ac:dyDescent="0.4">
      <c r="B6" s="235" t="s">
        <v>40</v>
      </c>
      <c r="C6" s="236" t="s">
        <v>41</v>
      </c>
      <c r="D6" s="244">
        <v>1</v>
      </c>
      <c r="E6" s="236" t="s">
        <v>42</v>
      </c>
      <c r="F6" s="236" t="s">
        <v>43</v>
      </c>
      <c r="G6" s="236" t="s">
        <v>43</v>
      </c>
      <c r="H6" s="245"/>
      <c r="I6" s="240">
        <v>700000</v>
      </c>
      <c r="J6" s="240">
        <f>D6*I6</f>
        <v>700000</v>
      </c>
      <c r="K6" s="243"/>
    </row>
    <row r="7" spans="2:11" ht="23.5" thickBot="1" x14ac:dyDescent="0.4">
      <c r="B7" s="235" t="s">
        <v>44</v>
      </c>
      <c r="C7" s="236" t="s">
        <v>41</v>
      </c>
      <c r="D7" s="244">
        <v>2</v>
      </c>
      <c r="E7" s="236" t="s">
        <v>45</v>
      </c>
      <c r="F7" s="236" t="s">
        <v>43</v>
      </c>
      <c r="G7" s="236" t="s">
        <v>43</v>
      </c>
      <c r="H7" s="245" t="s">
        <v>46</v>
      </c>
      <c r="I7" s="240">
        <v>700000</v>
      </c>
      <c r="J7" s="240">
        <f t="shared" ref="J7:J15" si="0">D7*I7</f>
        <v>1400000</v>
      </c>
      <c r="K7" s="243"/>
    </row>
    <row r="8" spans="2:11" ht="23.5" thickBot="1" x14ac:dyDescent="0.4">
      <c r="B8" s="235" t="s">
        <v>47</v>
      </c>
      <c r="C8" s="236" t="s">
        <v>41</v>
      </c>
      <c r="D8" s="244">
        <v>2</v>
      </c>
      <c r="E8" s="236" t="s">
        <v>42</v>
      </c>
      <c r="F8" s="236" t="s">
        <v>43</v>
      </c>
      <c r="G8" s="236"/>
      <c r="H8" s="245" t="s">
        <v>46</v>
      </c>
      <c r="I8" s="240">
        <v>700000</v>
      </c>
      <c r="J8" s="240">
        <f t="shared" si="0"/>
        <v>1400000</v>
      </c>
      <c r="K8" s="243"/>
    </row>
    <row r="9" spans="2:11" ht="23.5" thickBot="1" x14ac:dyDescent="0.4">
      <c r="B9" s="235" t="s">
        <v>48</v>
      </c>
      <c r="C9" s="236" t="s">
        <v>41</v>
      </c>
      <c r="D9" s="244">
        <v>2</v>
      </c>
      <c r="E9" s="236" t="s">
        <v>42</v>
      </c>
      <c r="F9" s="236" t="s">
        <v>43</v>
      </c>
      <c r="G9" s="236" t="s">
        <v>43</v>
      </c>
      <c r="H9" s="245"/>
      <c r="I9" s="240">
        <v>700000</v>
      </c>
      <c r="J9" s="240">
        <f t="shared" si="0"/>
        <v>1400000</v>
      </c>
      <c r="K9" s="243"/>
    </row>
    <row r="10" spans="2:11" ht="35" thickBot="1" x14ac:dyDescent="0.4">
      <c r="B10" s="235" t="s">
        <v>49</v>
      </c>
      <c r="C10" s="236" t="s">
        <v>41</v>
      </c>
      <c r="D10" s="244">
        <v>2</v>
      </c>
      <c r="E10" s="236" t="s">
        <v>42</v>
      </c>
      <c r="F10" s="236" t="s">
        <v>43</v>
      </c>
      <c r="G10" s="236" t="s">
        <v>43</v>
      </c>
      <c r="H10" s="245"/>
      <c r="I10" s="240">
        <v>700000</v>
      </c>
      <c r="J10" s="240">
        <f t="shared" si="0"/>
        <v>1400000</v>
      </c>
      <c r="K10" s="243"/>
    </row>
    <row r="11" spans="2:11" ht="23.5" thickBot="1" x14ac:dyDescent="0.4">
      <c r="B11" s="235" t="s">
        <v>50</v>
      </c>
      <c r="C11" s="236" t="s">
        <v>41</v>
      </c>
      <c r="D11" s="244">
        <v>1</v>
      </c>
      <c r="E11" s="236" t="s">
        <v>42</v>
      </c>
      <c r="F11" s="236" t="s">
        <v>43</v>
      </c>
      <c r="G11" s="236" t="s">
        <v>43</v>
      </c>
      <c r="H11" s="245"/>
      <c r="I11" s="240">
        <v>700000</v>
      </c>
      <c r="J11" s="240">
        <f t="shared" si="0"/>
        <v>700000</v>
      </c>
      <c r="K11" s="243"/>
    </row>
    <row r="12" spans="2:11" ht="23.5" thickBot="1" x14ac:dyDescent="0.4">
      <c r="B12" s="235" t="s">
        <v>51</v>
      </c>
      <c r="C12" s="236" t="s">
        <v>41</v>
      </c>
      <c r="D12" s="244">
        <v>2</v>
      </c>
      <c r="E12" s="236" t="s">
        <v>42</v>
      </c>
      <c r="F12" s="236" t="s">
        <v>43</v>
      </c>
      <c r="G12" s="236" t="s">
        <v>43</v>
      </c>
      <c r="H12" s="245"/>
      <c r="I12" s="240">
        <v>700000</v>
      </c>
      <c r="J12" s="240">
        <f t="shared" si="0"/>
        <v>1400000</v>
      </c>
      <c r="K12" s="243"/>
    </row>
    <row r="13" spans="2:11" ht="15" thickBot="1" x14ac:dyDescent="0.4">
      <c r="B13" s="235" t="s">
        <v>52</v>
      </c>
      <c r="C13" s="236" t="s">
        <v>41</v>
      </c>
      <c r="D13" s="244">
        <v>2</v>
      </c>
      <c r="E13" s="236" t="s">
        <v>53</v>
      </c>
      <c r="F13" s="236" t="s">
        <v>43</v>
      </c>
      <c r="G13" s="236"/>
      <c r="H13" s="245" t="s">
        <v>46</v>
      </c>
      <c r="I13" s="240">
        <v>700000</v>
      </c>
      <c r="J13" s="240">
        <f t="shared" si="0"/>
        <v>1400000</v>
      </c>
      <c r="K13" s="243"/>
    </row>
    <row r="14" spans="2:11" ht="23.5" thickBot="1" x14ac:dyDescent="0.4">
      <c r="B14" s="235" t="s">
        <v>54</v>
      </c>
      <c r="C14" s="236" t="s">
        <v>41</v>
      </c>
      <c r="D14" s="244">
        <v>1</v>
      </c>
      <c r="E14" s="236" t="s">
        <v>53</v>
      </c>
      <c r="F14" s="236" t="s">
        <v>43</v>
      </c>
      <c r="G14" s="236"/>
      <c r="H14" s="245"/>
      <c r="I14" s="240">
        <v>700000</v>
      </c>
      <c r="J14" s="240">
        <f t="shared" si="0"/>
        <v>700000</v>
      </c>
      <c r="K14" s="243"/>
    </row>
    <row r="15" spans="2:11" ht="23.5" thickBot="1" x14ac:dyDescent="0.4">
      <c r="B15" s="235" t="s">
        <v>55</v>
      </c>
      <c r="C15" s="236" t="s">
        <v>41</v>
      </c>
      <c r="D15" s="244">
        <v>1</v>
      </c>
      <c r="E15" s="236" t="s">
        <v>42</v>
      </c>
      <c r="F15" s="236" t="s">
        <v>43</v>
      </c>
      <c r="G15" s="236"/>
      <c r="H15" s="245"/>
      <c r="I15" s="240">
        <v>700000</v>
      </c>
      <c r="J15" s="240">
        <f t="shared" si="0"/>
        <v>700000</v>
      </c>
      <c r="K15" s="243"/>
    </row>
    <row r="16" spans="2:11" x14ac:dyDescent="0.35">
      <c r="B16" s="243"/>
      <c r="C16" s="243"/>
      <c r="D16" s="243"/>
      <c r="E16" s="243"/>
      <c r="F16" s="243"/>
      <c r="G16" s="243"/>
      <c r="H16" s="243"/>
      <c r="I16" s="243"/>
      <c r="J16" s="246">
        <f>SUM(J6:J15)</f>
        <v>11200000</v>
      </c>
      <c r="K16" s="243"/>
    </row>
    <row r="17" spans="2:11" x14ac:dyDescent="0.35">
      <c r="B17" s="243"/>
      <c r="C17" s="243"/>
      <c r="D17" s="243"/>
      <c r="E17" s="243"/>
      <c r="F17" s="243"/>
      <c r="G17" s="243"/>
      <c r="H17" s="243"/>
      <c r="I17" s="243"/>
      <c r="J17" s="246">
        <f>J16/108</f>
        <v>103703.70370370371</v>
      </c>
      <c r="K17" s="243"/>
    </row>
    <row r="18" spans="2:11" x14ac:dyDescent="0.35">
      <c r="B18" s="243"/>
      <c r="C18" s="243"/>
      <c r="D18" s="243"/>
      <c r="E18" s="243"/>
      <c r="F18" s="243"/>
      <c r="G18" s="243"/>
      <c r="H18" s="243"/>
      <c r="I18" s="243"/>
      <c r="J18" s="246">
        <f>J16/130</f>
        <v>86153.846153846156</v>
      </c>
      <c r="K18" s="246">
        <f>100000-J18</f>
        <v>13846.153846153844</v>
      </c>
    </row>
  </sheetData>
  <sheetProtection formatCells="0" formatColumns="0" formatRows="0" insertColumns="0" insertRows="0" insertHyperlinks="0" deleteColumns="0" deleteRows="0" sort="0" autoFilter="0" pivotTables="0"/>
  <mergeCells count="10">
    <mergeCell ref="B2:J2"/>
    <mergeCell ref="B3:J3"/>
    <mergeCell ref="I4:I5"/>
    <mergeCell ref="J4:J5"/>
    <mergeCell ref="B4:B5"/>
    <mergeCell ref="C4:C5"/>
    <mergeCell ref="D4:D5"/>
    <mergeCell ref="E4:E5"/>
    <mergeCell ref="F4:G4"/>
    <mergeCell ref="H4:H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2:M24"/>
  <sheetViews>
    <sheetView workbookViewId="0">
      <selection activeCell="C4" sqref="C4:C5"/>
    </sheetView>
  </sheetViews>
  <sheetFormatPr baseColWidth="10" defaultColWidth="11.453125" defaultRowHeight="14.5" x14ac:dyDescent="0.35"/>
  <cols>
    <col min="1" max="1" width="3.26953125" style="52" customWidth="1"/>
    <col min="2" max="2" width="37.54296875" style="52" customWidth="1"/>
    <col min="3" max="3" width="17.453125" style="52" customWidth="1"/>
    <col min="4" max="4" width="13.453125" style="52" customWidth="1"/>
    <col min="5" max="5" width="17.453125" style="52" customWidth="1"/>
    <col min="6" max="6" width="14.54296875" style="52" customWidth="1"/>
    <col min="7" max="7" width="11.54296875" style="52" customWidth="1"/>
    <col min="8" max="8" width="10.453125" style="52" customWidth="1"/>
    <col min="9" max="9" width="14.54296875" style="52" customWidth="1"/>
    <col min="10" max="10" width="12.453125" style="52" customWidth="1"/>
    <col min="11" max="11" width="15" style="52" customWidth="1"/>
    <col min="12" max="12" width="16" style="52" customWidth="1"/>
    <col min="13" max="13" width="14.7265625" style="52" customWidth="1"/>
    <col min="14" max="14" width="13.54296875" style="52" bestFit="1" customWidth="1"/>
    <col min="15" max="16384" width="11.453125" style="52"/>
  </cols>
  <sheetData>
    <row r="2" spans="2:13" x14ac:dyDescent="0.35">
      <c r="B2" s="300" t="s">
        <v>56</v>
      </c>
      <c r="C2" s="300"/>
      <c r="D2" s="300"/>
      <c r="E2" s="300"/>
      <c r="F2" s="300"/>
      <c r="G2" s="300"/>
      <c r="H2" s="300"/>
      <c r="I2" s="300"/>
      <c r="J2" s="300"/>
      <c r="K2" s="300"/>
      <c r="L2" s="300"/>
    </row>
    <row r="3" spans="2:13" ht="21.75" customHeight="1" thickBot="1" x14ac:dyDescent="0.4">
      <c r="B3" s="300" t="s">
        <v>8</v>
      </c>
      <c r="C3" s="300"/>
      <c r="D3" s="300"/>
      <c r="E3" s="300"/>
      <c r="F3" s="300"/>
      <c r="G3" s="300"/>
      <c r="H3" s="300"/>
      <c r="I3" s="300"/>
      <c r="J3" s="300"/>
      <c r="K3" s="300"/>
      <c r="L3" s="300"/>
    </row>
    <row r="4" spans="2:13" ht="15" thickBot="1" x14ac:dyDescent="0.4">
      <c r="B4" s="303" t="s">
        <v>57</v>
      </c>
      <c r="C4" s="303" t="s">
        <v>58</v>
      </c>
      <c r="D4" s="303" t="s">
        <v>59</v>
      </c>
      <c r="E4" s="305" t="s">
        <v>34</v>
      </c>
      <c r="F4" s="306"/>
      <c r="G4" s="301" t="s">
        <v>35</v>
      </c>
      <c r="H4" s="307" t="s">
        <v>60</v>
      </c>
      <c r="I4" s="308"/>
      <c r="J4" s="308" t="s">
        <v>61</v>
      </c>
      <c r="K4" s="308"/>
      <c r="L4" s="309" t="s">
        <v>62</v>
      </c>
      <c r="M4" s="311"/>
    </row>
    <row r="5" spans="2:13" ht="15" thickBot="1" x14ac:dyDescent="0.4">
      <c r="B5" s="304"/>
      <c r="C5" s="304"/>
      <c r="D5" s="304"/>
      <c r="E5" s="232" t="s">
        <v>38</v>
      </c>
      <c r="F5" s="232" t="s">
        <v>39</v>
      </c>
      <c r="G5" s="302"/>
      <c r="H5" s="233" t="s">
        <v>63</v>
      </c>
      <c r="I5" s="234" t="s">
        <v>64</v>
      </c>
      <c r="J5" s="234" t="s">
        <v>65</v>
      </c>
      <c r="K5" s="234" t="s">
        <v>66</v>
      </c>
      <c r="L5" s="310"/>
      <c r="M5" s="311"/>
    </row>
    <row r="6" spans="2:13" ht="15" thickBot="1" x14ac:dyDescent="0.4">
      <c r="B6" s="235" t="s">
        <v>67</v>
      </c>
      <c r="C6" s="236" t="s">
        <v>41</v>
      </c>
      <c r="D6" s="237" t="s">
        <v>42</v>
      </c>
      <c r="E6" s="237" t="s">
        <v>43</v>
      </c>
      <c r="F6" s="237" t="s">
        <v>43</v>
      </c>
      <c r="G6" s="238"/>
      <c r="H6" s="239">
        <v>3.5</v>
      </c>
      <c r="I6" s="240">
        <v>1100000</v>
      </c>
      <c r="J6" s="241">
        <f>2+0.5</f>
        <v>2.5</v>
      </c>
      <c r="K6" s="239">
        <v>300000</v>
      </c>
      <c r="L6" s="239">
        <f>(I6*H6)+(K6*J6)</f>
        <v>4600000</v>
      </c>
      <c r="M6" s="54"/>
    </row>
    <row r="7" spans="2:13" ht="23.5" thickBot="1" x14ac:dyDescent="0.4">
      <c r="B7" s="235" t="s">
        <v>68</v>
      </c>
      <c r="C7" s="236" t="s">
        <v>41</v>
      </c>
      <c r="D7" s="237" t="s">
        <v>42</v>
      </c>
      <c r="E7" s="237" t="s">
        <v>43</v>
      </c>
      <c r="F7" s="237" t="s">
        <v>43</v>
      </c>
      <c r="G7" s="238"/>
      <c r="H7" s="240">
        <v>3.5</v>
      </c>
      <c r="I7" s="240">
        <v>1100000</v>
      </c>
      <c r="J7" s="242">
        <f>2+0.5</f>
        <v>2.5</v>
      </c>
      <c r="K7" s="240">
        <v>300000</v>
      </c>
      <c r="L7" s="240">
        <f t="shared" ref="L7:L16" si="0">(I7*H7)+(K7*J7)</f>
        <v>4600000</v>
      </c>
      <c r="M7" s="54"/>
    </row>
    <row r="8" spans="2:13" ht="15" thickBot="1" x14ac:dyDescent="0.4">
      <c r="B8" s="235" t="s">
        <v>69</v>
      </c>
      <c r="C8" s="236" t="s">
        <v>41</v>
      </c>
      <c r="D8" s="237" t="s">
        <v>42</v>
      </c>
      <c r="E8" s="237" t="s">
        <v>43</v>
      </c>
      <c r="F8" s="237" t="s">
        <v>43</v>
      </c>
      <c r="G8" s="238"/>
      <c r="H8" s="240">
        <v>0.5</v>
      </c>
      <c r="I8" s="240">
        <v>1100000</v>
      </c>
      <c r="J8" s="242">
        <v>0.5</v>
      </c>
      <c r="K8" s="240">
        <v>300000</v>
      </c>
      <c r="L8" s="240">
        <f t="shared" si="0"/>
        <v>700000</v>
      </c>
      <c r="M8" s="54"/>
    </row>
    <row r="9" spans="2:13" ht="23.5" thickBot="1" x14ac:dyDescent="0.4">
      <c r="B9" s="235" t="s">
        <v>70</v>
      </c>
      <c r="C9" s="236" t="s">
        <v>41</v>
      </c>
      <c r="D9" s="237" t="s">
        <v>42</v>
      </c>
      <c r="E9" s="237" t="s">
        <v>43</v>
      </c>
      <c r="F9" s="237"/>
      <c r="G9" s="238"/>
      <c r="H9" s="240">
        <v>2</v>
      </c>
      <c r="I9" s="240">
        <v>1100000</v>
      </c>
      <c r="J9" s="242">
        <f>2</f>
        <v>2</v>
      </c>
      <c r="K9" s="240">
        <v>300000</v>
      </c>
      <c r="L9" s="240">
        <f t="shared" si="0"/>
        <v>2800000</v>
      </c>
      <c r="M9" s="54"/>
    </row>
    <row r="10" spans="2:13" ht="24.75" customHeight="1" thickBot="1" x14ac:dyDescent="0.4">
      <c r="B10" s="235" t="s">
        <v>71</v>
      </c>
      <c r="C10" s="236" t="s">
        <v>41</v>
      </c>
      <c r="D10" s="237" t="s">
        <v>42</v>
      </c>
      <c r="E10" s="237" t="s">
        <v>43</v>
      </c>
      <c r="F10" s="237" t="s">
        <v>43</v>
      </c>
      <c r="G10" s="238"/>
      <c r="H10" s="240">
        <v>1</v>
      </c>
      <c r="I10" s="240">
        <v>1100000</v>
      </c>
      <c r="J10" s="242">
        <f>1</f>
        <v>1</v>
      </c>
      <c r="K10" s="240">
        <v>300000</v>
      </c>
      <c r="L10" s="240">
        <f t="shared" si="0"/>
        <v>1400000</v>
      </c>
      <c r="M10" s="54"/>
    </row>
    <row r="11" spans="2:13" ht="27.75" customHeight="1" thickBot="1" x14ac:dyDescent="0.4">
      <c r="B11" s="235" t="s">
        <v>72</v>
      </c>
      <c r="C11" s="236" t="s">
        <v>41</v>
      </c>
      <c r="D11" s="237" t="s">
        <v>42</v>
      </c>
      <c r="E11" s="237" t="s">
        <v>43</v>
      </c>
      <c r="F11" s="237"/>
      <c r="G11" s="238"/>
      <c r="H11" s="240">
        <v>1</v>
      </c>
      <c r="I11" s="240">
        <v>1100000</v>
      </c>
      <c r="J11" s="242">
        <f>1+0.5</f>
        <v>1.5</v>
      </c>
      <c r="K11" s="240">
        <v>300000</v>
      </c>
      <c r="L11" s="240">
        <f t="shared" si="0"/>
        <v>1550000</v>
      </c>
      <c r="M11" s="54"/>
    </row>
    <row r="12" spans="2:13" ht="23.5" thickBot="1" x14ac:dyDescent="0.4">
      <c r="B12" s="235" t="s">
        <v>73</v>
      </c>
      <c r="C12" s="236" t="s">
        <v>41</v>
      </c>
      <c r="D12" s="237" t="s">
        <v>42</v>
      </c>
      <c r="E12" s="237"/>
      <c r="F12" s="237" t="s">
        <v>43</v>
      </c>
      <c r="G12" s="238"/>
      <c r="H12" s="240"/>
      <c r="I12" s="240"/>
      <c r="J12" s="242"/>
      <c r="K12" s="240"/>
      <c r="L12" s="240">
        <v>5000000</v>
      </c>
      <c r="M12" s="54"/>
    </row>
    <row r="13" spans="2:13" ht="15" thickBot="1" x14ac:dyDescent="0.4">
      <c r="B13" s="235" t="s">
        <v>74</v>
      </c>
      <c r="C13" s="236" t="s">
        <v>41</v>
      </c>
      <c r="D13" s="237" t="s">
        <v>53</v>
      </c>
      <c r="E13" s="237" t="s">
        <v>43</v>
      </c>
      <c r="F13" s="237"/>
      <c r="G13" s="238"/>
      <c r="H13" s="240">
        <v>3</v>
      </c>
      <c r="I13" s="240">
        <v>1100000</v>
      </c>
      <c r="J13" s="242">
        <f>2+0.5</f>
        <v>2.5</v>
      </c>
      <c r="K13" s="240">
        <v>300000</v>
      </c>
      <c r="L13" s="240">
        <f t="shared" ref="L13" si="1">(I13*H13)+(K13*J13)</f>
        <v>4050000</v>
      </c>
      <c r="M13" s="54"/>
    </row>
    <row r="14" spans="2:13" ht="15" thickBot="1" x14ac:dyDescent="0.4">
      <c r="B14" s="235" t="s">
        <v>75</v>
      </c>
      <c r="C14" s="236" t="s">
        <v>41</v>
      </c>
      <c r="D14" s="237" t="s">
        <v>42</v>
      </c>
      <c r="E14" s="237" t="s">
        <v>43</v>
      </c>
      <c r="F14" s="237"/>
      <c r="G14" s="238"/>
      <c r="H14" s="240">
        <v>1</v>
      </c>
      <c r="I14" s="240">
        <v>1100000</v>
      </c>
      <c r="J14" s="242">
        <f>1</f>
        <v>1</v>
      </c>
      <c r="K14" s="240">
        <v>300000</v>
      </c>
      <c r="L14" s="240">
        <f t="shared" si="0"/>
        <v>1400000</v>
      </c>
      <c r="M14" s="54"/>
    </row>
    <row r="15" spans="2:13" ht="15" thickBot="1" x14ac:dyDescent="0.4">
      <c r="B15" s="235" t="s">
        <v>76</v>
      </c>
      <c r="C15" s="236" t="s">
        <v>41</v>
      </c>
      <c r="D15" s="237" t="s">
        <v>53</v>
      </c>
      <c r="E15" s="237" t="s">
        <v>43</v>
      </c>
      <c r="F15" s="237"/>
      <c r="G15" s="238"/>
      <c r="H15" s="240">
        <v>1</v>
      </c>
      <c r="I15" s="240">
        <v>1100000</v>
      </c>
      <c r="J15" s="242">
        <f>1+0.5</f>
        <v>1.5</v>
      </c>
      <c r="K15" s="240">
        <v>300000</v>
      </c>
      <c r="L15" s="240">
        <f t="shared" si="0"/>
        <v>1550000</v>
      </c>
      <c r="M15" s="54"/>
    </row>
    <row r="16" spans="2:13" ht="15" thickBot="1" x14ac:dyDescent="0.4">
      <c r="B16" s="235" t="s">
        <v>77</v>
      </c>
      <c r="C16" s="236" t="s">
        <v>41</v>
      </c>
      <c r="D16" s="237" t="s">
        <v>53</v>
      </c>
      <c r="E16" s="237" t="s">
        <v>43</v>
      </c>
      <c r="F16" s="237"/>
      <c r="G16" s="238"/>
      <c r="H16" s="240">
        <v>1</v>
      </c>
      <c r="I16" s="240">
        <v>1100000</v>
      </c>
      <c r="J16" s="242">
        <f>1+0.5</f>
        <v>1.5</v>
      </c>
      <c r="K16" s="240">
        <v>300000</v>
      </c>
      <c r="L16" s="240">
        <f t="shared" si="0"/>
        <v>1550000</v>
      </c>
      <c r="M16" s="54"/>
    </row>
    <row r="17" spans="2:12" ht="15" thickBot="1" x14ac:dyDescent="0.4"/>
    <row r="18" spans="2:12" ht="15" thickBot="1" x14ac:dyDescent="0.4">
      <c r="B18" s="56" t="s">
        <v>78</v>
      </c>
      <c r="C18" s="57"/>
      <c r="D18" s="57"/>
      <c r="E18" s="57"/>
      <c r="F18" s="57"/>
      <c r="G18" s="57"/>
      <c r="H18" s="57"/>
      <c r="I18" s="57"/>
      <c r="J18" s="57"/>
      <c r="K18" s="57"/>
      <c r="L18" s="58">
        <f>SUM(L6:L16)</f>
        <v>29200000</v>
      </c>
    </row>
    <row r="20" spans="2:12" ht="20.25" customHeight="1" x14ac:dyDescent="0.35">
      <c r="C20" s="60" t="s">
        <v>79</v>
      </c>
      <c r="D20" s="61" t="s">
        <v>80</v>
      </c>
      <c r="E20" s="62" t="s">
        <v>81</v>
      </c>
      <c r="F20" s="62" t="s">
        <v>82</v>
      </c>
    </row>
    <row r="21" spans="2:12" x14ac:dyDescent="0.35">
      <c r="B21" s="59" t="s">
        <v>83</v>
      </c>
      <c r="C21" s="55">
        <f>32+7</f>
        <v>39</v>
      </c>
      <c r="D21" s="63">
        <v>10</v>
      </c>
      <c r="E21" s="53">
        <f>D21*L18/100</f>
        <v>2920000</v>
      </c>
      <c r="F21" s="53">
        <f>E21/C21</f>
        <v>74871.794871794875</v>
      </c>
    </row>
    <row r="22" spans="2:12" x14ac:dyDescent="0.35">
      <c r="B22" s="59" t="s">
        <v>84</v>
      </c>
      <c r="C22" s="55">
        <f>46+7</f>
        <v>53</v>
      </c>
      <c r="D22" s="63">
        <v>45</v>
      </c>
      <c r="E22" s="53">
        <f>D22*L18/100</f>
        <v>13140000</v>
      </c>
      <c r="F22" s="53">
        <f>E22/C22</f>
        <v>247924.52830188681</v>
      </c>
    </row>
    <row r="23" spans="2:12" x14ac:dyDescent="0.35">
      <c r="B23" s="59" t="s">
        <v>85</v>
      </c>
      <c r="C23" s="55">
        <f>30+8</f>
        <v>38</v>
      </c>
      <c r="D23" s="63">
        <v>45</v>
      </c>
      <c r="E23" s="53">
        <f>D23*L18/100</f>
        <v>13140000</v>
      </c>
      <c r="F23" s="53">
        <f>E23/C23</f>
        <v>345789.4736842105</v>
      </c>
    </row>
    <row r="24" spans="2:12" x14ac:dyDescent="0.35">
      <c r="C24" s="55">
        <f>C21+C22+C23</f>
        <v>130</v>
      </c>
      <c r="D24" s="63">
        <f>D21+D22+D23</f>
        <v>100</v>
      </c>
      <c r="E24" s="53">
        <f>E21+E22+E23</f>
        <v>29200000</v>
      </c>
    </row>
  </sheetData>
  <sheetProtection formatCells="0" formatColumns="0" formatRows="0" insertColumns="0" insertRows="0" insertHyperlinks="0" deleteColumns="0" deleteRows="0" sort="0" autoFilter="0" pivotTables="0"/>
  <mergeCells count="11">
    <mergeCell ref="H4:I4"/>
    <mergeCell ref="J4:K4"/>
    <mergeCell ref="L4:L5"/>
    <mergeCell ref="M4:M5"/>
    <mergeCell ref="B2:L2"/>
    <mergeCell ref="B4:B5"/>
    <mergeCell ref="C4:C5"/>
    <mergeCell ref="D4:D5"/>
    <mergeCell ref="E4:F4"/>
    <mergeCell ref="G4:G5"/>
    <mergeCell ref="B3:L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E45"/>
  <sheetViews>
    <sheetView zoomScale="130" zoomScaleNormal="130" workbookViewId="0">
      <selection activeCell="E6" sqref="E6"/>
    </sheetView>
  </sheetViews>
  <sheetFormatPr baseColWidth="10" defaultColWidth="11.453125" defaultRowHeight="13" x14ac:dyDescent="0.3"/>
  <cols>
    <col min="1" max="1" width="29.1796875" style="15" customWidth="1"/>
    <col min="2" max="2" width="14.26953125" style="15" customWidth="1"/>
    <col min="3" max="3" width="17.81640625" style="15" customWidth="1"/>
    <col min="4" max="4" width="16" style="16" customWidth="1"/>
    <col min="5" max="5" width="23.54296875" style="15" customWidth="1"/>
    <col min="6" max="6" width="13.54296875" style="15" customWidth="1"/>
    <col min="7" max="7" width="13.1796875" style="15" bestFit="1" customWidth="1"/>
    <col min="8" max="16384" width="11.453125" style="15"/>
  </cols>
  <sheetData>
    <row r="1" spans="1:5" ht="27" customHeight="1" thickBot="1" x14ac:dyDescent="0.35">
      <c r="A1" s="312" t="s">
        <v>86</v>
      </c>
      <c r="B1" s="313"/>
      <c r="C1" s="313"/>
      <c r="D1" s="313"/>
      <c r="E1" s="313"/>
    </row>
    <row r="2" spans="1:5" ht="22.5" customHeight="1" thickBot="1" x14ac:dyDescent="0.35">
      <c r="A2" s="209"/>
      <c r="B2" s="210" t="s">
        <v>87</v>
      </c>
      <c r="C2" s="211" t="s">
        <v>88</v>
      </c>
      <c r="D2" s="212" t="s">
        <v>89</v>
      </c>
      <c r="E2" s="213" t="s">
        <v>90</v>
      </c>
    </row>
    <row r="3" spans="1:5" x14ac:dyDescent="0.3">
      <c r="A3" s="214" t="s">
        <v>91</v>
      </c>
      <c r="B3" s="215"/>
      <c r="C3" s="215"/>
      <c r="D3" s="216"/>
      <c r="E3" s="214"/>
    </row>
    <row r="4" spans="1:5" ht="14.25" customHeight="1" x14ac:dyDescent="0.3">
      <c r="A4" s="217" t="s">
        <v>92</v>
      </c>
      <c r="B4" s="105"/>
      <c r="C4" s="105"/>
      <c r="D4" s="106"/>
      <c r="E4" s="105"/>
    </row>
    <row r="5" spans="1:5" x14ac:dyDescent="0.3">
      <c r="A5" s="107" t="s">
        <v>93</v>
      </c>
      <c r="B5" s="110" t="s">
        <v>94</v>
      </c>
      <c r="C5" s="107">
        <v>227000</v>
      </c>
      <c r="D5" s="109">
        <f>C5/3700</f>
        <v>61.351351351351354</v>
      </c>
      <c r="E5" s="107">
        <f>C5/3200</f>
        <v>70.9375</v>
      </c>
    </row>
    <row r="6" spans="1:5" x14ac:dyDescent="0.3">
      <c r="A6" s="107" t="s">
        <v>95</v>
      </c>
      <c r="B6" s="110" t="s">
        <v>94</v>
      </c>
      <c r="C6" s="107">
        <v>144473.98000000001</v>
      </c>
      <c r="D6" s="109">
        <f>C6/3700</f>
        <v>39.047021621621624</v>
      </c>
      <c r="E6" s="107">
        <f>C6/3200</f>
        <v>45.148118750000002</v>
      </c>
    </row>
    <row r="7" spans="1:5" x14ac:dyDescent="0.3">
      <c r="A7" s="107" t="s">
        <v>96</v>
      </c>
      <c r="B7" s="110" t="s">
        <v>94</v>
      </c>
      <c r="C7" s="107">
        <v>43945.319459626655</v>
      </c>
      <c r="D7" s="109">
        <f>C7/3700</f>
        <v>11.877113367466663</v>
      </c>
      <c r="E7" s="107">
        <f>C7/3200</f>
        <v>13.732912331133329</v>
      </c>
    </row>
    <row r="8" spans="1:5" x14ac:dyDescent="0.3">
      <c r="A8" s="111" t="s">
        <v>97</v>
      </c>
      <c r="B8" s="112" t="s">
        <v>98</v>
      </c>
      <c r="C8" s="111">
        <f>SUM(C5:C7)</f>
        <v>415419.29945962667</v>
      </c>
      <c r="D8" s="109">
        <f>C8/3700</f>
        <v>112.27548634043964</v>
      </c>
      <c r="E8" s="107">
        <f>C8/3200</f>
        <v>129.81853108113333</v>
      </c>
    </row>
    <row r="9" spans="1:5" x14ac:dyDescent="0.3">
      <c r="A9" s="218" t="s">
        <v>99</v>
      </c>
      <c r="B9" s="215"/>
      <c r="C9" s="215"/>
      <c r="D9" s="216"/>
      <c r="E9" s="214"/>
    </row>
    <row r="10" spans="1:5" x14ac:dyDescent="0.3">
      <c r="A10" s="117" t="s">
        <v>100</v>
      </c>
      <c r="B10" s="118" t="s">
        <v>101</v>
      </c>
      <c r="C10" s="117">
        <v>57482.191780821915</v>
      </c>
      <c r="D10" s="109">
        <f>C10/3700</f>
        <v>15.535727508330247</v>
      </c>
      <c r="E10" s="107">
        <f>C10/3200</f>
        <v>17.963184931506849</v>
      </c>
    </row>
    <row r="11" spans="1:5" x14ac:dyDescent="0.3">
      <c r="A11" s="117" t="s">
        <v>102</v>
      </c>
      <c r="B11" s="118" t="s">
        <v>101</v>
      </c>
      <c r="C11" s="117">
        <v>767.1232876712329</v>
      </c>
      <c r="D11" s="109">
        <f t="shared" ref="D11:D22" si="0">C11/3700</f>
        <v>0.2073306182895224</v>
      </c>
      <c r="E11" s="119">
        <f t="shared" ref="E11:E22" si="1">C11/3200</f>
        <v>0.23972602739726029</v>
      </c>
    </row>
    <row r="12" spans="1:5" x14ac:dyDescent="0.3">
      <c r="A12" s="117" t="s">
        <v>103</v>
      </c>
      <c r="B12" s="118" t="s">
        <v>101</v>
      </c>
      <c r="C12" s="117">
        <v>10520.547945205479</v>
      </c>
      <c r="D12" s="109">
        <f t="shared" si="0"/>
        <v>2.8433913365420214</v>
      </c>
      <c r="E12" s="107">
        <f t="shared" si="1"/>
        <v>3.2876712328767121</v>
      </c>
    </row>
    <row r="13" spans="1:5" x14ac:dyDescent="0.3">
      <c r="A13" s="117" t="s">
        <v>104</v>
      </c>
      <c r="B13" s="118" t="s">
        <v>101</v>
      </c>
      <c r="C13" s="117">
        <v>31347.608219178081</v>
      </c>
      <c r="D13" s="109">
        <f t="shared" si="0"/>
        <v>8.4723265457238064</v>
      </c>
      <c r="E13" s="107">
        <f t="shared" si="1"/>
        <v>9.7961275684931497</v>
      </c>
    </row>
    <row r="14" spans="1:5" x14ac:dyDescent="0.3">
      <c r="A14" s="117" t="s">
        <v>105</v>
      </c>
      <c r="B14" s="118" t="s">
        <v>101</v>
      </c>
      <c r="C14" s="117">
        <v>25643.835616438355</v>
      </c>
      <c r="D14" s="109">
        <f t="shared" si="0"/>
        <v>6.9307663828211767</v>
      </c>
      <c r="E14" s="107">
        <f t="shared" si="1"/>
        <v>8.0136986301369859</v>
      </c>
    </row>
    <row r="15" spans="1:5" x14ac:dyDescent="0.3">
      <c r="A15" s="117" t="s">
        <v>106</v>
      </c>
      <c r="B15" s="118" t="s">
        <v>101</v>
      </c>
      <c r="C15" s="117">
        <v>5109.58904109589</v>
      </c>
      <c r="D15" s="109">
        <f t="shared" si="0"/>
        <v>1.3809700111069974</v>
      </c>
      <c r="E15" s="107">
        <f t="shared" si="1"/>
        <v>1.5967465753424657</v>
      </c>
    </row>
    <row r="16" spans="1:5" x14ac:dyDescent="0.3">
      <c r="A16" s="117" t="s">
        <v>107</v>
      </c>
      <c r="B16" s="118" t="s">
        <v>101</v>
      </c>
      <c r="C16" s="117">
        <v>18410.95890410959</v>
      </c>
      <c r="D16" s="109">
        <f t="shared" si="0"/>
        <v>4.9759348389485378</v>
      </c>
      <c r="E16" s="107">
        <f t="shared" si="1"/>
        <v>5.7534246575342465</v>
      </c>
    </row>
    <row r="17" spans="1:5" x14ac:dyDescent="0.3">
      <c r="A17" s="117" t="s">
        <v>108</v>
      </c>
      <c r="B17" s="118" t="s">
        <v>101</v>
      </c>
      <c r="C17" s="117">
        <v>32876.71232876712</v>
      </c>
      <c r="D17" s="109">
        <f t="shared" si="0"/>
        <v>8.8855979266938157</v>
      </c>
      <c r="E17" s="107">
        <f t="shared" si="1"/>
        <v>10.273972602739725</v>
      </c>
    </row>
    <row r="18" spans="1:5" x14ac:dyDescent="0.3">
      <c r="A18" s="117" t="s">
        <v>109</v>
      </c>
      <c r="B18" s="118" t="s">
        <v>101</v>
      </c>
      <c r="C18" s="117">
        <v>6313.3616438356166</v>
      </c>
      <c r="D18" s="109">
        <f t="shared" si="0"/>
        <v>1.7063139577934099</v>
      </c>
      <c r="E18" s="107">
        <f t="shared" si="1"/>
        <v>1.9729255136986301</v>
      </c>
    </row>
    <row r="19" spans="1:5" x14ac:dyDescent="0.3">
      <c r="A19" s="120" t="s">
        <v>97</v>
      </c>
      <c r="B19" s="121" t="s">
        <v>98</v>
      </c>
      <c r="C19" s="117">
        <f>SUM(C10:C18)</f>
        <v>188471.92876712326</v>
      </c>
      <c r="D19" s="109">
        <f t="shared" si="0"/>
        <v>50.93835912624953</v>
      </c>
      <c r="E19" s="107">
        <f t="shared" si="1"/>
        <v>58.897477739726021</v>
      </c>
    </row>
    <row r="20" spans="1:5" x14ac:dyDescent="0.3">
      <c r="A20" s="120" t="s">
        <v>110</v>
      </c>
      <c r="B20" s="121" t="s">
        <v>98</v>
      </c>
      <c r="C20" s="117">
        <f>C19+C8</f>
        <v>603891.22822674992</v>
      </c>
      <c r="D20" s="109">
        <f t="shared" si="0"/>
        <v>163.21384546668918</v>
      </c>
      <c r="E20" s="107">
        <f t="shared" si="1"/>
        <v>188.71600882085934</v>
      </c>
    </row>
    <row r="21" spans="1:5" x14ac:dyDescent="0.3">
      <c r="A21" s="177" t="s">
        <v>111</v>
      </c>
      <c r="B21" s="178" t="s">
        <v>98</v>
      </c>
      <c r="C21" s="179">
        <v>1000000</v>
      </c>
      <c r="D21" s="180">
        <f t="shared" si="0"/>
        <v>270.27027027027026</v>
      </c>
      <c r="E21" s="181">
        <f t="shared" si="1"/>
        <v>312.5</v>
      </c>
    </row>
    <row r="22" spans="1:5" x14ac:dyDescent="0.3">
      <c r="A22" s="182" t="s">
        <v>112</v>
      </c>
      <c r="B22" s="183" t="s">
        <v>113</v>
      </c>
      <c r="C22" s="195">
        <f>C21-C8-C19</f>
        <v>396108.77177325008</v>
      </c>
      <c r="D22" s="196">
        <f t="shared" si="0"/>
        <v>107.05642480358109</v>
      </c>
      <c r="E22" s="198">
        <f t="shared" si="1"/>
        <v>123.78399117914064</v>
      </c>
    </row>
    <row r="23" spans="1:5" x14ac:dyDescent="0.3">
      <c r="A23" s="214" t="s">
        <v>114</v>
      </c>
      <c r="B23" s="215"/>
      <c r="C23" s="215"/>
      <c r="D23" s="216"/>
      <c r="E23" s="214"/>
    </row>
    <row r="24" spans="1:5" x14ac:dyDescent="0.3">
      <c r="A24" s="133" t="s">
        <v>115</v>
      </c>
      <c r="B24" s="144" t="s">
        <v>94</v>
      </c>
      <c r="C24" s="133">
        <v>88000</v>
      </c>
      <c r="D24" s="132">
        <f>C24/3700</f>
        <v>23.783783783783782</v>
      </c>
      <c r="E24" s="133">
        <f>C24/3200</f>
        <v>27.5</v>
      </c>
    </row>
    <row r="25" spans="1:5" x14ac:dyDescent="0.3">
      <c r="A25" s="134" t="s">
        <v>97</v>
      </c>
      <c r="B25" s="135" t="s">
        <v>98</v>
      </c>
      <c r="C25" s="134">
        <f>C24</f>
        <v>88000</v>
      </c>
      <c r="D25" s="132">
        <f t="shared" ref="D25:D27" si="2">C25/3700</f>
        <v>23.783783783783782</v>
      </c>
      <c r="E25" s="133">
        <f t="shared" ref="E25:E27" si="3">C25/3200</f>
        <v>27.5</v>
      </c>
    </row>
    <row r="26" spans="1:5" x14ac:dyDescent="0.3">
      <c r="A26" s="187" t="s">
        <v>111</v>
      </c>
      <c r="B26" s="188" t="s">
        <v>113</v>
      </c>
      <c r="C26" s="179">
        <v>250000</v>
      </c>
      <c r="D26" s="189">
        <f t="shared" si="2"/>
        <v>67.567567567567565</v>
      </c>
      <c r="E26" s="190">
        <f t="shared" si="3"/>
        <v>78.125</v>
      </c>
    </row>
    <row r="27" spans="1:5" x14ac:dyDescent="0.3">
      <c r="A27" s="191" t="s">
        <v>112</v>
      </c>
      <c r="B27" s="192" t="s">
        <v>113</v>
      </c>
      <c r="C27" s="184">
        <f>C26-C25</f>
        <v>162000</v>
      </c>
      <c r="D27" s="189">
        <f t="shared" si="2"/>
        <v>43.783783783783782</v>
      </c>
      <c r="E27" s="190">
        <f t="shared" si="3"/>
        <v>50.625</v>
      </c>
    </row>
    <row r="28" spans="1:5" x14ac:dyDescent="0.3">
      <c r="A28" s="219" t="s">
        <v>116</v>
      </c>
      <c r="B28" s="220"/>
      <c r="C28" s="220"/>
      <c r="D28" s="221"/>
      <c r="E28" s="219"/>
    </row>
    <row r="29" spans="1:5" s="1" customFormat="1" x14ac:dyDescent="0.3">
      <c r="A29" s="143" t="s">
        <v>117</v>
      </c>
      <c r="B29" s="144" t="s">
        <v>94</v>
      </c>
      <c r="C29" s="133">
        <v>144473.98000000001</v>
      </c>
      <c r="D29" s="132">
        <f>C29/3700</f>
        <v>39.047021621621624</v>
      </c>
      <c r="E29" s="133">
        <f>C29/3200</f>
        <v>45.148118750000002</v>
      </c>
    </row>
    <row r="30" spans="1:5" s="1" customFormat="1" x14ac:dyDescent="0.3">
      <c r="A30" s="143" t="s">
        <v>118</v>
      </c>
      <c r="B30" s="144" t="s">
        <v>94</v>
      </c>
      <c r="C30" s="133">
        <v>52109.956133973326</v>
      </c>
      <c r="D30" s="132">
        <f t="shared" ref="D30:D37" si="4">C30/3700</f>
        <v>14.0837719281009</v>
      </c>
      <c r="E30" s="133">
        <f t="shared" ref="E30:E37" si="5">C30/3200</f>
        <v>16.284361291866663</v>
      </c>
    </row>
    <row r="31" spans="1:5" s="1" customFormat="1" x14ac:dyDescent="0.3">
      <c r="A31" s="143" t="s">
        <v>119</v>
      </c>
      <c r="B31" s="144" t="s">
        <v>94</v>
      </c>
      <c r="C31" s="133">
        <v>142502.56</v>
      </c>
      <c r="D31" s="132">
        <f t="shared" si="4"/>
        <v>38.514205405405406</v>
      </c>
      <c r="E31" s="133">
        <f t="shared" si="5"/>
        <v>44.532049999999998</v>
      </c>
    </row>
    <row r="32" spans="1:5" s="1" customFormat="1" x14ac:dyDescent="0.3">
      <c r="A32" s="143" t="s">
        <v>120</v>
      </c>
      <c r="B32" s="144" t="s">
        <v>94</v>
      </c>
      <c r="C32" s="133">
        <v>52109.956133973326</v>
      </c>
      <c r="D32" s="132">
        <f t="shared" si="4"/>
        <v>14.0837719281009</v>
      </c>
      <c r="E32" s="133">
        <f t="shared" si="5"/>
        <v>16.284361291866663</v>
      </c>
    </row>
    <row r="33" spans="1:5" s="1" customFormat="1" x14ac:dyDescent="0.3">
      <c r="A33" s="143" t="s">
        <v>121</v>
      </c>
      <c r="B33" s="144" t="s">
        <v>94</v>
      </c>
      <c r="C33" s="133">
        <v>43945.319459626655</v>
      </c>
      <c r="D33" s="132">
        <f t="shared" si="4"/>
        <v>11.877113367466663</v>
      </c>
      <c r="E33" s="133">
        <f t="shared" si="5"/>
        <v>13.732912331133329</v>
      </c>
    </row>
    <row r="34" spans="1:5" s="1" customFormat="1" x14ac:dyDescent="0.3">
      <c r="A34" s="143" t="s">
        <v>122</v>
      </c>
      <c r="B34" s="144" t="s">
        <v>94</v>
      </c>
      <c r="C34" s="133">
        <f>142502.56/2</f>
        <v>71251.28</v>
      </c>
      <c r="D34" s="132">
        <f t="shared" si="4"/>
        <v>19.257102702702703</v>
      </c>
      <c r="E34" s="133">
        <f t="shared" si="5"/>
        <v>22.266024999999999</v>
      </c>
    </row>
    <row r="35" spans="1:5" s="20" customFormat="1" x14ac:dyDescent="0.3">
      <c r="A35" s="145" t="s">
        <v>97</v>
      </c>
      <c r="B35" s="146" t="s">
        <v>98</v>
      </c>
      <c r="C35" s="145">
        <f>C29+C30+C31+C32+C33+C34</f>
        <v>506393.05172757339</v>
      </c>
      <c r="D35" s="147">
        <f t="shared" si="4"/>
        <v>136.86298695339821</v>
      </c>
      <c r="E35" s="145">
        <f>C35/3200</f>
        <v>158.24782866486669</v>
      </c>
    </row>
    <row r="36" spans="1:5" s="26" customFormat="1" x14ac:dyDescent="0.3">
      <c r="A36" s="222" t="s">
        <v>111</v>
      </c>
      <c r="B36" s="223" t="s">
        <v>98</v>
      </c>
      <c r="C36" s="224">
        <v>650000</v>
      </c>
      <c r="D36" s="225">
        <f t="shared" si="4"/>
        <v>175.67567567567568</v>
      </c>
      <c r="E36" s="226">
        <f t="shared" si="5"/>
        <v>203.125</v>
      </c>
    </row>
    <row r="37" spans="1:5" s="1" customFormat="1" x14ac:dyDescent="0.3">
      <c r="A37" s="227" t="s">
        <v>112</v>
      </c>
      <c r="B37" s="228" t="s">
        <v>98</v>
      </c>
      <c r="C37" s="190">
        <f>C36-C35</f>
        <v>143606.94827242661</v>
      </c>
      <c r="D37" s="229">
        <f t="shared" si="4"/>
        <v>38.812688722277464</v>
      </c>
      <c r="E37" s="230">
        <f t="shared" si="5"/>
        <v>44.877171335133319</v>
      </c>
    </row>
    <row r="38" spans="1:5" x14ac:dyDescent="0.3">
      <c r="A38" s="219" t="s">
        <v>123</v>
      </c>
      <c r="B38" s="220"/>
      <c r="C38" s="220"/>
      <c r="D38" s="221"/>
      <c r="E38" s="219"/>
    </row>
    <row r="39" spans="1:5" x14ac:dyDescent="0.3">
      <c r="A39" s="217" t="s">
        <v>124</v>
      </c>
      <c r="B39" s="217"/>
      <c r="C39" s="217"/>
      <c r="D39" s="231"/>
      <c r="E39" s="217"/>
    </row>
    <row r="40" spans="1:5" x14ac:dyDescent="0.3">
      <c r="A40" s="107" t="s">
        <v>125</v>
      </c>
      <c r="B40" s="145" t="s">
        <v>126</v>
      </c>
      <c r="C40" s="107">
        <v>1500000</v>
      </c>
      <c r="D40" s="109">
        <f>C40/3700</f>
        <v>405.40540540540542</v>
      </c>
      <c r="E40" s="107">
        <f>C40/3200</f>
        <v>468.75</v>
      </c>
    </row>
    <row r="41" spans="1:5" ht="29.25" customHeight="1" x14ac:dyDescent="0.3">
      <c r="A41" s="276" t="s">
        <v>127</v>
      </c>
      <c r="B41" s="277"/>
      <c r="C41" s="277"/>
      <c r="D41" s="277"/>
      <c r="E41" s="277"/>
    </row>
    <row r="42" spans="1:5" ht="13.5" thickBot="1" x14ac:dyDescent="0.35"/>
    <row r="43" spans="1:5" ht="14" x14ac:dyDescent="0.3">
      <c r="A43" s="83" t="s">
        <v>128</v>
      </c>
      <c r="B43" s="314" t="s">
        <v>129</v>
      </c>
      <c r="C43" s="315"/>
      <c r="D43" s="15"/>
    </row>
    <row r="44" spans="1:5" ht="33" customHeight="1" x14ac:dyDescent="0.3">
      <c r="A44" s="36" t="s">
        <v>130</v>
      </c>
      <c r="B44" s="316">
        <f>(B45*10%)+B45</f>
        <v>1100000</v>
      </c>
      <c r="C44" s="317"/>
      <c r="D44" s="15"/>
    </row>
    <row r="45" spans="1:5" ht="22.5" customHeight="1" thickBot="1" x14ac:dyDescent="0.35">
      <c r="A45" s="37" t="s">
        <v>131</v>
      </c>
      <c r="B45" s="318">
        <f>C21</f>
        <v>1000000</v>
      </c>
      <c r="C45" s="319"/>
      <c r="D45" s="15"/>
    </row>
  </sheetData>
  <sheetProtection formatCells="0" formatColumns="0" formatRows="0" insertColumns="0" insertRows="0" insertHyperlinks="0" deleteColumns="0" deleteRows="0" sort="0" autoFilter="0" pivotTables="0"/>
  <mergeCells count="5">
    <mergeCell ref="A1:E1"/>
    <mergeCell ref="A41:E41"/>
    <mergeCell ref="B43:C43"/>
    <mergeCell ref="B44:C44"/>
    <mergeCell ref="B45:C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E41"/>
  <sheetViews>
    <sheetView zoomScale="120" zoomScaleNormal="120" workbookViewId="0">
      <selection activeCell="F5" sqref="F5"/>
    </sheetView>
  </sheetViews>
  <sheetFormatPr baseColWidth="10" defaultColWidth="11.453125" defaultRowHeight="12.5" x14ac:dyDescent="0.25"/>
  <cols>
    <col min="1" max="1" width="25.453125" customWidth="1"/>
    <col min="2" max="2" width="12.54296875" customWidth="1"/>
    <col min="3" max="3" width="15.26953125" customWidth="1"/>
    <col min="5" max="5" width="23.453125" customWidth="1"/>
  </cols>
  <sheetData>
    <row r="1" spans="1:5" s="1" customFormat="1" ht="25.5" customHeight="1" thickBot="1" x14ac:dyDescent="0.35">
      <c r="A1" s="312" t="s">
        <v>132</v>
      </c>
      <c r="B1" s="313"/>
      <c r="C1" s="313"/>
      <c r="D1" s="313"/>
      <c r="E1" s="313"/>
    </row>
    <row r="2" spans="1:5" s="1" customFormat="1" ht="19.5" customHeight="1" thickBot="1" x14ac:dyDescent="0.35">
      <c r="A2" s="199"/>
      <c r="B2" s="165" t="s">
        <v>87</v>
      </c>
      <c r="C2" s="165" t="s">
        <v>133</v>
      </c>
      <c r="D2" s="166" t="s">
        <v>89</v>
      </c>
      <c r="E2" s="167" t="s">
        <v>90</v>
      </c>
    </row>
    <row r="3" spans="1:5" s="1" customFormat="1" ht="21" customHeight="1" x14ac:dyDescent="0.3">
      <c r="A3" s="203" t="s">
        <v>134</v>
      </c>
      <c r="B3" s="204"/>
      <c r="C3" s="204"/>
      <c r="D3" s="205"/>
      <c r="E3" s="203"/>
    </row>
    <row r="4" spans="1:5" s="1" customFormat="1" ht="15" customHeight="1" x14ac:dyDescent="0.3">
      <c r="A4" s="133" t="s">
        <v>115</v>
      </c>
      <c r="B4" s="144" t="s">
        <v>94</v>
      </c>
      <c r="C4" s="133">
        <v>227000</v>
      </c>
      <c r="D4" s="132">
        <f>C4/3700</f>
        <v>61.351351351351354</v>
      </c>
      <c r="E4" s="133">
        <f>C4/3200</f>
        <v>70.9375</v>
      </c>
    </row>
    <row r="5" spans="1:5" s="1" customFormat="1" ht="13" x14ac:dyDescent="0.3">
      <c r="A5" s="133" t="s">
        <v>95</v>
      </c>
      <c r="B5" s="144" t="s">
        <v>94</v>
      </c>
      <c r="C5" s="133">
        <v>144473.98000000001</v>
      </c>
      <c r="D5" s="132">
        <f t="shared" ref="D5:D7" si="0">C5/3700</f>
        <v>39.047021621621624</v>
      </c>
      <c r="E5" s="133">
        <f t="shared" ref="E5:E7" si="1">C5/3200</f>
        <v>45.148118750000002</v>
      </c>
    </row>
    <row r="6" spans="1:5" s="1" customFormat="1" ht="15" customHeight="1" x14ac:dyDescent="0.3">
      <c r="A6" s="133" t="s">
        <v>96</v>
      </c>
      <c r="B6" s="144" t="s">
        <v>94</v>
      </c>
      <c r="C6" s="133">
        <v>43945.319459626655</v>
      </c>
      <c r="D6" s="132">
        <f t="shared" si="0"/>
        <v>11.877113367466663</v>
      </c>
      <c r="E6" s="133">
        <f t="shared" si="1"/>
        <v>13.732912331133329</v>
      </c>
    </row>
    <row r="7" spans="1:5" s="13" customFormat="1" ht="15" customHeight="1" x14ac:dyDescent="0.3">
      <c r="A7" s="120" t="s">
        <v>97</v>
      </c>
      <c r="B7" s="121" t="s">
        <v>113</v>
      </c>
      <c r="C7" s="120">
        <f>C4+C5+C6</f>
        <v>415419.29945962667</v>
      </c>
      <c r="D7" s="174">
        <f t="shared" si="0"/>
        <v>112.27548634043964</v>
      </c>
      <c r="E7" s="134">
        <f t="shared" si="1"/>
        <v>129.81853108113333</v>
      </c>
    </row>
    <row r="8" spans="1:5" s="1" customFormat="1" ht="15" customHeight="1" x14ac:dyDescent="0.3">
      <c r="A8" s="203" t="s">
        <v>135</v>
      </c>
      <c r="B8" s="204"/>
      <c r="C8" s="204"/>
      <c r="D8" s="205"/>
      <c r="E8" s="203"/>
    </row>
    <row r="9" spans="1:5" s="1" customFormat="1" ht="15" customHeight="1" x14ac:dyDescent="0.3">
      <c r="A9" s="117" t="s">
        <v>100</v>
      </c>
      <c r="B9" s="118" t="s">
        <v>101</v>
      </c>
      <c r="C9" s="117">
        <v>57482.191780821915</v>
      </c>
      <c r="D9" s="122">
        <f>C9/3700</f>
        <v>15.535727508330247</v>
      </c>
      <c r="E9" s="117">
        <f>C9/3200</f>
        <v>17.963184931506849</v>
      </c>
    </row>
    <row r="10" spans="1:5" s="1" customFormat="1" ht="15" customHeight="1" x14ac:dyDescent="0.3">
      <c r="A10" s="117" t="s">
        <v>102</v>
      </c>
      <c r="B10" s="118" t="s">
        <v>101</v>
      </c>
      <c r="C10" s="117">
        <v>767.1232876712329</v>
      </c>
      <c r="D10" s="122">
        <f t="shared" ref="D10:D20" si="2">C10/3700</f>
        <v>0.2073306182895224</v>
      </c>
      <c r="E10" s="117">
        <f t="shared" ref="E10:E20" si="3">C10/3200</f>
        <v>0.23972602739726029</v>
      </c>
    </row>
    <row r="11" spans="1:5" s="1" customFormat="1" ht="15" customHeight="1" x14ac:dyDescent="0.3">
      <c r="A11" s="117" t="s">
        <v>103</v>
      </c>
      <c r="B11" s="118" t="s">
        <v>101</v>
      </c>
      <c r="C11" s="117">
        <v>10520.547945205479</v>
      </c>
      <c r="D11" s="122">
        <f t="shared" si="2"/>
        <v>2.8433913365420214</v>
      </c>
      <c r="E11" s="117">
        <f t="shared" si="3"/>
        <v>3.2876712328767121</v>
      </c>
    </row>
    <row r="12" spans="1:5" s="1" customFormat="1" ht="15" customHeight="1" x14ac:dyDescent="0.3">
      <c r="A12" s="117" t="s">
        <v>104</v>
      </c>
      <c r="B12" s="118" t="s">
        <v>101</v>
      </c>
      <c r="C12" s="117">
        <v>31347.608219178081</v>
      </c>
      <c r="D12" s="122">
        <f t="shared" si="2"/>
        <v>8.4723265457238064</v>
      </c>
      <c r="E12" s="117">
        <f t="shared" si="3"/>
        <v>9.7961275684931497</v>
      </c>
    </row>
    <row r="13" spans="1:5" s="1" customFormat="1" ht="15" customHeight="1" x14ac:dyDescent="0.3">
      <c r="A13" s="117" t="s">
        <v>105</v>
      </c>
      <c r="B13" s="118" t="s">
        <v>101</v>
      </c>
      <c r="C13" s="117">
        <v>25643.835616438355</v>
      </c>
      <c r="D13" s="122">
        <f t="shared" si="2"/>
        <v>6.9307663828211767</v>
      </c>
      <c r="E13" s="117">
        <f t="shared" si="3"/>
        <v>8.0136986301369859</v>
      </c>
    </row>
    <row r="14" spans="1:5" s="1" customFormat="1" ht="15" customHeight="1" x14ac:dyDescent="0.3">
      <c r="A14" s="117" t="s">
        <v>106</v>
      </c>
      <c r="B14" s="118" t="s">
        <v>101</v>
      </c>
      <c r="C14" s="117">
        <v>5109.58904109589</v>
      </c>
      <c r="D14" s="122">
        <f t="shared" si="2"/>
        <v>1.3809700111069974</v>
      </c>
      <c r="E14" s="117">
        <f t="shared" si="3"/>
        <v>1.5967465753424657</v>
      </c>
    </row>
    <row r="15" spans="1:5" s="1" customFormat="1" ht="15" customHeight="1" x14ac:dyDescent="0.3">
      <c r="A15" s="117" t="s">
        <v>107</v>
      </c>
      <c r="B15" s="118" t="s">
        <v>101</v>
      </c>
      <c r="C15" s="117">
        <v>18410.95890410959</v>
      </c>
      <c r="D15" s="122">
        <f t="shared" si="2"/>
        <v>4.9759348389485378</v>
      </c>
      <c r="E15" s="117">
        <f t="shared" si="3"/>
        <v>5.7534246575342465</v>
      </c>
    </row>
    <row r="16" spans="1:5" s="1" customFormat="1" ht="15" customHeight="1" x14ac:dyDescent="0.3">
      <c r="A16" s="117" t="s">
        <v>108</v>
      </c>
      <c r="B16" s="118" t="s">
        <v>101</v>
      </c>
      <c r="C16" s="117">
        <v>32876.71232876712</v>
      </c>
      <c r="D16" s="122">
        <f t="shared" si="2"/>
        <v>8.8855979266938157</v>
      </c>
      <c r="E16" s="117">
        <f t="shared" si="3"/>
        <v>10.273972602739725</v>
      </c>
    </row>
    <row r="17" spans="1:5" s="1" customFormat="1" ht="15" customHeight="1" x14ac:dyDescent="0.3">
      <c r="A17" s="117" t="s">
        <v>109</v>
      </c>
      <c r="B17" s="118" t="s">
        <v>101</v>
      </c>
      <c r="C17" s="117">
        <v>6313.3616438356166</v>
      </c>
      <c r="D17" s="122">
        <f t="shared" si="2"/>
        <v>1.7063139577934099</v>
      </c>
      <c r="E17" s="117">
        <f t="shared" si="3"/>
        <v>1.9729255136986301</v>
      </c>
    </row>
    <row r="18" spans="1:5" s="1" customFormat="1" ht="18" customHeight="1" x14ac:dyDescent="0.3">
      <c r="A18" s="120" t="s">
        <v>97</v>
      </c>
      <c r="B18" s="121" t="s">
        <v>98</v>
      </c>
      <c r="C18" s="117">
        <f>C9+C10+C11+C12+C13+C14+C15+C16+C17</f>
        <v>188471.92876712326</v>
      </c>
      <c r="D18" s="122">
        <f t="shared" si="2"/>
        <v>50.93835912624953</v>
      </c>
      <c r="E18" s="117">
        <f t="shared" si="3"/>
        <v>58.897477739726021</v>
      </c>
    </row>
    <row r="19" spans="1:5" s="1" customFormat="1" ht="18.75" customHeight="1" x14ac:dyDescent="0.3">
      <c r="A19" s="123" t="s">
        <v>136</v>
      </c>
      <c r="B19" s="124" t="s">
        <v>98</v>
      </c>
      <c r="C19" s="125">
        <v>800000</v>
      </c>
      <c r="D19" s="126">
        <f t="shared" si="2"/>
        <v>216.21621621621622</v>
      </c>
      <c r="E19" s="123">
        <f t="shared" si="3"/>
        <v>250</v>
      </c>
    </row>
    <row r="20" spans="1:5" s="1" customFormat="1" ht="13.5" customHeight="1" x14ac:dyDescent="0.3">
      <c r="A20" s="127" t="s">
        <v>112</v>
      </c>
      <c r="B20" s="128" t="s">
        <v>113</v>
      </c>
      <c r="C20" s="129">
        <f>C19-C18-C7</f>
        <v>196108.77177325008</v>
      </c>
      <c r="D20" s="130">
        <f t="shared" si="2"/>
        <v>53.002370749527046</v>
      </c>
      <c r="E20" s="131">
        <f t="shared" si="3"/>
        <v>61.283991179140649</v>
      </c>
    </row>
    <row r="21" spans="1:5" s="1" customFormat="1" ht="14.25" customHeight="1" x14ac:dyDescent="0.3">
      <c r="A21" s="203" t="s">
        <v>137</v>
      </c>
      <c r="B21" s="204"/>
      <c r="C21" s="204"/>
      <c r="D21" s="205"/>
      <c r="E21" s="203"/>
    </row>
    <row r="22" spans="1:5" s="1" customFormat="1" ht="15" customHeight="1" x14ac:dyDescent="0.3">
      <c r="A22" s="133" t="s">
        <v>115</v>
      </c>
      <c r="B22" s="144" t="s">
        <v>94</v>
      </c>
      <c r="C22" s="133">
        <v>88000</v>
      </c>
      <c r="D22" s="132">
        <f>C22/3700</f>
        <v>23.783783783783782</v>
      </c>
      <c r="E22" s="133">
        <f>C22/3200</f>
        <v>27.5</v>
      </c>
    </row>
    <row r="23" spans="1:5" s="1" customFormat="1" ht="13.5" customHeight="1" x14ac:dyDescent="0.3">
      <c r="A23" s="134" t="s">
        <v>97</v>
      </c>
      <c r="B23" s="135" t="s">
        <v>98</v>
      </c>
      <c r="C23" s="134">
        <f>C22</f>
        <v>88000</v>
      </c>
      <c r="D23" s="132">
        <f t="shared" ref="D23" si="4">C23/3700</f>
        <v>23.783783783783782</v>
      </c>
      <c r="E23" s="133">
        <f t="shared" ref="E23:E25" si="5">C23/3200</f>
        <v>27.5</v>
      </c>
    </row>
    <row r="24" spans="1:5" s="1" customFormat="1" ht="18" customHeight="1" x14ac:dyDescent="0.3">
      <c r="A24" s="123" t="s">
        <v>111</v>
      </c>
      <c r="B24" s="124" t="s">
        <v>98</v>
      </c>
      <c r="C24" s="125">
        <v>150000</v>
      </c>
      <c r="D24" s="136">
        <f>C24/3700</f>
        <v>40.54054054054054</v>
      </c>
      <c r="E24" s="137">
        <f t="shared" si="5"/>
        <v>46.875</v>
      </c>
    </row>
    <row r="25" spans="1:5" s="1" customFormat="1" ht="18.75" customHeight="1" x14ac:dyDescent="0.3">
      <c r="A25" s="127" t="s">
        <v>112</v>
      </c>
      <c r="B25" s="128" t="s">
        <v>113</v>
      </c>
      <c r="C25" s="129">
        <f>C24-C23</f>
        <v>62000</v>
      </c>
      <c r="D25" s="138">
        <f>C25/3700</f>
        <v>16.756756756756758</v>
      </c>
      <c r="E25" s="139">
        <f t="shared" si="5"/>
        <v>19.375</v>
      </c>
    </row>
    <row r="26" spans="1:5" s="1" customFormat="1" ht="18.75" customHeight="1" x14ac:dyDescent="0.3">
      <c r="A26" s="203" t="s">
        <v>138</v>
      </c>
      <c r="B26" s="204"/>
      <c r="C26" s="204"/>
      <c r="D26" s="205"/>
      <c r="E26" s="203"/>
    </row>
    <row r="27" spans="1:5" s="1" customFormat="1" ht="13" x14ac:dyDescent="0.3">
      <c r="A27" s="143" t="s">
        <v>117</v>
      </c>
      <c r="B27" s="144" t="s">
        <v>94</v>
      </c>
      <c r="C27" s="133">
        <v>144473.98000000001</v>
      </c>
      <c r="D27" s="132">
        <f>C27/3700</f>
        <v>39.047021621621624</v>
      </c>
      <c r="E27" s="133">
        <f>C27/3200</f>
        <v>45.148118750000002</v>
      </c>
    </row>
    <row r="28" spans="1:5" s="1" customFormat="1" ht="13" x14ac:dyDescent="0.3">
      <c r="A28" s="143" t="s">
        <v>118</v>
      </c>
      <c r="B28" s="144" t="s">
        <v>94</v>
      </c>
      <c r="C28" s="133">
        <v>52109.956133973326</v>
      </c>
      <c r="D28" s="132">
        <f t="shared" ref="D28:D32" si="6">C28/3700</f>
        <v>14.0837719281009</v>
      </c>
      <c r="E28" s="133">
        <f t="shared" ref="E28:E32" si="7">C28/3200</f>
        <v>16.284361291866663</v>
      </c>
    </row>
    <row r="29" spans="1:5" s="1" customFormat="1" ht="13" x14ac:dyDescent="0.3">
      <c r="A29" s="143" t="s">
        <v>119</v>
      </c>
      <c r="B29" s="144" t="s">
        <v>94</v>
      </c>
      <c r="C29" s="133">
        <v>142502.56</v>
      </c>
      <c r="D29" s="132">
        <f t="shared" si="6"/>
        <v>38.514205405405406</v>
      </c>
      <c r="E29" s="133">
        <f t="shared" si="7"/>
        <v>44.532049999999998</v>
      </c>
    </row>
    <row r="30" spans="1:5" s="1" customFormat="1" ht="13" x14ac:dyDescent="0.3">
      <c r="A30" s="143" t="s">
        <v>120</v>
      </c>
      <c r="B30" s="144" t="s">
        <v>94</v>
      </c>
      <c r="C30" s="133">
        <v>52109.956133973326</v>
      </c>
      <c r="D30" s="132">
        <f t="shared" si="6"/>
        <v>14.0837719281009</v>
      </c>
      <c r="E30" s="133">
        <f t="shared" si="7"/>
        <v>16.284361291866663</v>
      </c>
    </row>
    <row r="31" spans="1:5" s="1" customFormat="1" ht="13" x14ac:dyDescent="0.3">
      <c r="A31" s="143" t="s">
        <v>121</v>
      </c>
      <c r="B31" s="144" t="s">
        <v>94</v>
      </c>
      <c r="C31" s="133">
        <v>43945.319459626699</v>
      </c>
      <c r="D31" s="132">
        <f t="shared" si="6"/>
        <v>11.877113367466675</v>
      </c>
      <c r="E31" s="133">
        <f t="shared" si="7"/>
        <v>13.732912331133344</v>
      </c>
    </row>
    <row r="32" spans="1:5" s="1" customFormat="1" ht="13" x14ac:dyDescent="0.3">
      <c r="A32" s="143" t="s">
        <v>122</v>
      </c>
      <c r="B32" s="144" t="s">
        <v>94</v>
      </c>
      <c r="C32" s="133">
        <v>142502.56</v>
      </c>
      <c r="D32" s="132">
        <f t="shared" si="6"/>
        <v>38.514205405405406</v>
      </c>
      <c r="E32" s="133">
        <f t="shared" si="7"/>
        <v>44.532049999999998</v>
      </c>
    </row>
    <row r="33" spans="1:5" s="1" customFormat="1" ht="13" x14ac:dyDescent="0.3">
      <c r="A33" s="134" t="s">
        <v>97</v>
      </c>
      <c r="B33" s="135" t="s">
        <v>98</v>
      </c>
      <c r="C33" s="133">
        <f>C27+C28+C29+C30+C31+C32</f>
        <v>577644.33172757342</v>
      </c>
      <c r="D33" s="132"/>
      <c r="E33" s="133"/>
    </row>
    <row r="34" spans="1:5" s="1" customFormat="1" ht="13" x14ac:dyDescent="0.3">
      <c r="A34" s="123" t="s">
        <v>111</v>
      </c>
      <c r="B34" s="148" t="s">
        <v>98</v>
      </c>
      <c r="C34" s="137">
        <v>650000</v>
      </c>
      <c r="D34" s="136">
        <f t="shared" ref="D34:D35" si="8">C34/3700</f>
        <v>175.67567567567568</v>
      </c>
      <c r="E34" s="137">
        <f t="shared" ref="E34:E35" si="9">C34/3200</f>
        <v>203.125</v>
      </c>
    </row>
    <row r="35" spans="1:5" s="1" customFormat="1" ht="15" customHeight="1" x14ac:dyDescent="0.3">
      <c r="A35" s="127" t="s">
        <v>112</v>
      </c>
      <c r="B35" s="148" t="s">
        <v>98</v>
      </c>
      <c r="C35" s="149">
        <f>C34-C33</f>
        <v>72355.668272426585</v>
      </c>
      <c r="D35" s="150">
        <f t="shared" si="8"/>
        <v>19.555586019574754</v>
      </c>
      <c r="E35" s="151">
        <f t="shared" si="9"/>
        <v>22.611146335133309</v>
      </c>
    </row>
    <row r="36" spans="1:5" s="1" customFormat="1" ht="18" customHeight="1" x14ac:dyDescent="0.3">
      <c r="A36" s="203" t="s">
        <v>139</v>
      </c>
      <c r="B36" s="204"/>
      <c r="C36" s="204"/>
      <c r="D36" s="205"/>
      <c r="E36" s="203"/>
    </row>
    <row r="37" spans="1:5" s="1" customFormat="1" ht="13" x14ac:dyDescent="0.3">
      <c r="A37" s="193" t="s">
        <v>140</v>
      </c>
      <c r="B37" s="133"/>
      <c r="C37" s="133"/>
      <c r="D37" s="132"/>
      <c r="E37" s="133"/>
    </row>
    <row r="38" spans="1:5" s="1" customFormat="1" ht="13" x14ac:dyDescent="0.3">
      <c r="A38" s="133" t="s">
        <v>141</v>
      </c>
      <c r="B38" s="144" t="s">
        <v>94</v>
      </c>
      <c r="C38" s="133">
        <f>125210.782666667*2</f>
        <v>250421.565333334</v>
      </c>
      <c r="D38" s="132">
        <f>C38/3700</f>
        <v>67.681504144144327</v>
      </c>
      <c r="E38" s="133">
        <f>C38/3200</f>
        <v>78.256739166666875</v>
      </c>
    </row>
    <row r="39" spans="1:5" s="1" customFormat="1" ht="13" x14ac:dyDescent="0.3">
      <c r="A39" s="134" t="s">
        <v>97</v>
      </c>
      <c r="B39" s="135" t="s">
        <v>98</v>
      </c>
      <c r="C39" s="134">
        <f>C38</f>
        <v>250421.565333334</v>
      </c>
      <c r="D39" s="132">
        <f t="shared" ref="D39:D41" si="10">C39/3700</f>
        <v>67.681504144144327</v>
      </c>
      <c r="E39" s="133">
        <f t="shared" ref="E39:E41" si="11">C39/3200</f>
        <v>78.256739166666875</v>
      </c>
    </row>
    <row r="40" spans="1:5" s="1" customFormat="1" ht="13" x14ac:dyDescent="0.3">
      <c r="A40" s="137" t="s">
        <v>111</v>
      </c>
      <c r="B40" s="148" t="s">
        <v>113</v>
      </c>
      <c r="C40" s="206">
        <v>400000</v>
      </c>
      <c r="D40" s="136">
        <f t="shared" si="10"/>
        <v>108.10810810810811</v>
      </c>
      <c r="E40" s="137">
        <f t="shared" si="11"/>
        <v>125</v>
      </c>
    </row>
    <row r="41" spans="1:5" s="1" customFormat="1" ht="13" x14ac:dyDescent="0.3">
      <c r="A41" s="207" t="s">
        <v>112</v>
      </c>
      <c r="B41" s="208" t="s">
        <v>98</v>
      </c>
      <c r="C41" s="149">
        <f>C40-C39</f>
        <v>149578.434666666</v>
      </c>
      <c r="D41" s="150">
        <f t="shared" si="10"/>
        <v>40.426603963963785</v>
      </c>
      <c r="E41" s="151">
        <f t="shared" si="11"/>
        <v>46.743260833333125</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99FF"/>
  </sheetPr>
  <dimension ref="A1:E35"/>
  <sheetViews>
    <sheetView zoomScale="120" zoomScaleNormal="120" workbookViewId="0">
      <selection activeCell="G8" sqref="G8"/>
    </sheetView>
  </sheetViews>
  <sheetFormatPr baseColWidth="10" defaultColWidth="11.453125" defaultRowHeight="11.5" x14ac:dyDescent="0.25"/>
  <cols>
    <col min="1" max="1" width="25.453125" style="162" customWidth="1"/>
    <col min="2" max="2" width="12.54296875" style="162" customWidth="1"/>
    <col min="3" max="3" width="15.26953125" style="162" customWidth="1"/>
    <col min="4" max="4" width="11.453125" style="162"/>
    <col min="5" max="5" width="17" style="162" customWidth="1"/>
    <col min="6" max="16384" width="11.453125" style="162"/>
  </cols>
  <sheetData>
    <row r="1" spans="1:5" ht="25.5" customHeight="1" thickBot="1" x14ac:dyDescent="0.3">
      <c r="A1" s="312" t="s">
        <v>142</v>
      </c>
      <c r="B1" s="313"/>
      <c r="C1" s="313"/>
      <c r="D1" s="313"/>
      <c r="E1" s="313"/>
    </row>
    <row r="2" spans="1:5" ht="19.5" customHeight="1" thickBot="1" x14ac:dyDescent="0.3">
      <c r="A2" s="199"/>
      <c r="B2" s="165" t="s">
        <v>87</v>
      </c>
      <c r="C2" s="165" t="s">
        <v>133</v>
      </c>
      <c r="D2" s="166" t="s">
        <v>89</v>
      </c>
      <c r="E2" s="167" t="s">
        <v>90</v>
      </c>
    </row>
    <row r="3" spans="1:5" ht="21" customHeight="1" x14ac:dyDescent="0.25">
      <c r="A3" s="200" t="s">
        <v>134</v>
      </c>
      <c r="B3" s="201"/>
      <c r="C3" s="201"/>
      <c r="D3" s="202"/>
      <c r="E3" s="200"/>
    </row>
    <row r="4" spans="1:5" ht="15" customHeight="1" x14ac:dyDescent="0.25">
      <c r="A4" s="133" t="s">
        <v>115</v>
      </c>
      <c r="B4" s="144" t="s">
        <v>94</v>
      </c>
      <c r="C4" s="133">
        <v>227000</v>
      </c>
      <c r="D4" s="132">
        <f>C4/3700</f>
        <v>61.351351351351354</v>
      </c>
      <c r="E4" s="133">
        <f>C4/3200</f>
        <v>70.9375</v>
      </c>
    </row>
    <row r="5" spans="1:5" x14ac:dyDescent="0.25">
      <c r="A5" s="133" t="s">
        <v>95</v>
      </c>
      <c r="B5" s="144" t="s">
        <v>94</v>
      </c>
      <c r="C5" s="133">
        <v>144473.98000000001</v>
      </c>
      <c r="D5" s="132">
        <f t="shared" ref="D5:D7" si="0">C5/3700</f>
        <v>39.047021621621624</v>
      </c>
      <c r="E5" s="133">
        <f t="shared" ref="E5:E7" si="1">C5/3200</f>
        <v>45.148118750000002</v>
      </c>
    </row>
    <row r="6" spans="1:5" ht="15" customHeight="1" x14ac:dyDescent="0.25">
      <c r="A6" s="133" t="s">
        <v>96</v>
      </c>
      <c r="B6" s="144" t="s">
        <v>94</v>
      </c>
      <c r="C6" s="133">
        <v>43945.319459626655</v>
      </c>
      <c r="D6" s="132">
        <f t="shared" si="0"/>
        <v>11.877113367466663</v>
      </c>
      <c r="E6" s="133">
        <f t="shared" si="1"/>
        <v>13.732912331133329</v>
      </c>
    </row>
    <row r="7" spans="1:5" s="173" customFormat="1" ht="15" customHeight="1" x14ac:dyDescent="0.3">
      <c r="A7" s="120" t="s">
        <v>97</v>
      </c>
      <c r="B7" s="121" t="s">
        <v>113</v>
      </c>
      <c r="C7" s="120">
        <f>C4+C5+C6</f>
        <v>415419.29945962667</v>
      </c>
      <c r="D7" s="174">
        <f t="shared" si="0"/>
        <v>112.27548634043964</v>
      </c>
      <c r="E7" s="134">
        <f t="shared" si="1"/>
        <v>129.81853108113333</v>
      </c>
    </row>
    <row r="8" spans="1:5" ht="15" customHeight="1" x14ac:dyDescent="0.25">
      <c r="A8" s="200" t="s">
        <v>135</v>
      </c>
      <c r="B8" s="201"/>
      <c r="C8" s="201"/>
      <c r="D8" s="202"/>
      <c r="E8" s="200"/>
    </row>
    <row r="9" spans="1:5" ht="15" customHeight="1" x14ac:dyDescent="0.25">
      <c r="A9" s="117" t="s">
        <v>100</v>
      </c>
      <c r="B9" s="118" t="s">
        <v>101</v>
      </c>
      <c r="C9" s="117">
        <v>57482.191780821915</v>
      </c>
      <c r="D9" s="122">
        <f>C9/3700</f>
        <v>15.535727508330247</v>
      </c>
      <c r="E9" s="117">
        <f>C9/3200</f>
        <v>17.963184931506849</v>
      </c>
    </row>
    <row r="10" spans="1:5" ht="15" customHeight="1" x14ac:dyDescent="0.25">
      <c r="A10" s="117" t="s">
        <v>102</v>
      </c>
      <c r="B10" s="118" t="s">
        <v>101</v>
      </c>
      <c r="C10" s="117">
        <v>767.1232876712329</v>
      </c>
      <c r="D10" s="122">
        <f t="shared" ref="D10:D20" si="2">C10/3700</f>
        <v>0.2073306182895224</v>
      </c>
      <c r="E10" s="117">
        <f t="shared" ref="E10:E20" si="3">C10/3200</f>
        <v>0.23972602739726029</v>
      </c>
    </row>
    <row r="11" spans="1:5" ht="15" customHeight="1" x14ac:dyDescent="0.25">
      <c r="A11" s="117" t="s">
        <v>103</v>
      </c>
      <c r="B11" s="118" t="s">
        <v>101</v>
      </c>
      <c r="C11" s="117">
        <v>10520.547945205479</v>
      </c>
      <c r="D11" s="122">
        <f t="shared" si="2"/>
        <v>2.8433913365420214</v>
      </c>
      <c r="E11" s="117">
        <f t="shared" si="3"/>
        <v>3.2876712328767121</v>
      </c>
    </row>
    <row r="12" spans="1:5" ht="15" customHeight="1" x14ac:dyDescent="0.25">
      <c r="A12" s="117" t="s">
        <v>104</v>
      </c>
      <c r="B12" s="118" t="s">
        <v>101</v>
      </c>
      <c r="C12" s="117">
        <v>31347.608219178081</v>
      </c>
      <c r="D12" s="122">
        <f t="shared" si="2"/>
        <v>8.4723265457238064</v>
      </c>
      <c r="E12" s="117">
        <f t="shared" si="3"/>
        <v>9.7961275684931497</v>
      </c>
    </row>
    <row r="13" spans="1:5" ht="15" customHeight="1" x14ac:dyDescent="0.25">
      <c r="A13" s="117" t="s">
        <v>105</v>
      </c>
      <c r="B13" s="118" t="s">
        <v>101</v>
      </c>
      <c r="C13" s="117">
        <v>25643.835616438355</v>
      </c>
      <c r="D13" s="122">
        <f t="shared" si="2"/>
        <v>6.9307663828211767</v>
      </c>
      <c r="E13" s="117">
        <f t="shared" si="3"/>
        <v>8.0136986301369859</v>
      </c>
    </row>
    <row r="14" spans="1:5" ht="15" customHeight="1" x14ac:dyDescent="0.25">
      <c r="A14" s="117" t="s">
        <v>106</v>
      </c>
      <c r="B14" s="118" t="s">
        <v>101</v>
      </c>
      <c r="C14" s="117">
        <v>5109.58904109589</v>
      </c>
      <c r="D14" s="122">
        <f t="shared" si="2"/>
        <v>1.3809700111069974</v>
      </c>
      <c r="E14" s="117">
        <f t="shared" si="3"/>
        <v>1.5967465753424657</v>
      </c>
    </row>
    <row r="15" spans="1:5" ht="15" customHeight="1" x14ac:dyDescent="0.25">
      <c r="A15" s="117" t="s">
        <v>107</v>
      </c>
      <c r="B15" s="118" t="s">
        <v>101</v>
      </c>
      <c r="C15" s="117">
        <v>18410.95890410959</v>
      </c>
      <c r="D15" s="122">
        <f t="shared" si="2"/>
        <v>4.9759348389485378</v>
      </c>
      <c r="E15" s="117">
        <f t="shared" si="3"/>
        <v>5.7534246575342465</v>
      </c>
    </row>
    <row r="16" spans="1:5" ht="15" customHeight="1" x14ac:dyDescent="0.25">
      <c r="A16" s="117" t="s">
        <v>108</v>
      </c>
      <c r="B16" s="118" t="s">
        <v>101</v>
      </c>
      <c r="C16" s="117">
        <v>32876.71232876712</v>
      </c>
      <c r="D16" s="122">
        <f t="shared" si="2"/>
        <v>8.8855979266938157</v>
      </c>
      <c r="E16" s="117">
        <f t="shared" si="3"/>
        <v>10.273972602739725</v>
      </c>
    </row>
    <row r="17" spans="1:5" ht="15" customHeight="1" x14ac:dyDescent="0.25">
      <c r="A17" s="117" t="s">
        <v>109</v>
      </c>
      <c r="B17" s="118" t="s">
        <v>101</v>
      </c>
      <c r="C17" s="117">
        <v>6313.3616438356166</v>
      </c>
      <c r="D17" s="122">
        <f t="shared" si="2"/>
        <v>1.7063139577934099</v>
      </c>
      <c r="E17" s="117">
        <f t="shared" si="3"/>
        <v>1.9729255136986301</v>
      </c>
    </row>
    <row r="18" spans="1:5" ht="18" customHeight="1" x14ac:dyDescent="0.3">
      <c r="A18" s="120" t="s">
        <v>97</v>
      </c>
      <c r="B18" s="121" t="s">
        <v>98</v>
      </c>
      <c r="C18" s="117">
        <f>C9+C10+C11+C12+C13+C14+C15+C16+C17</f>
        <v>188471.92876712326</v>
      </c>
      <c r="D18" s="122">
        <f t="shared" si="2"/>
        <v>50.93835912624953</v>
      </c>
      <c r="E18" s="117">
        <f t="shared" si="3"/>
        <v>58.897477739726021</v>
      </c>
    </row>
    <row r="19" spans="1:5" ht="18.75" customHeight="1" x14ac:dyDescent="0.25">
      <c r="A19" s="123" t="s">
        <v>136</v>
      </c>
      <c r="B19" s="124" t="s">
        <v>98</v>
      </c>
      <c r="C19" s="125">
        <v>700000</v>
      </c>
      <c r="D19" s="126">
        <f t="shared" si="2"/>
        <v>189.18918918918919</v>
      </c>
      <c r="E19" s="123">
        <f t="shared" si="3"/>
        <v>218.75</v>
      </c>
    </row>
    <row r="20" spans="1:5" ht="13.5" customHeight="1" x14ac:dyDescent="0.3">
      <c r="A20" s="127" t="s">
        <v>112</v>
      </c>
      <c r="B20" s="128" t="s">
        <v>113</v>
      </c>
      <c r="C20" s="129">
        <f>C19-C18-C7</f>
        <v>96108.771773250075</v>
      </c>
      <c r="D20" s="130">
        <f t="shared" si="2"/>
        <v>25.975343722500021</v>
      </c>
      <c r="E20" s="131">
        <f t="shared" si="3"/>
        <v>30.033991179140649</v>
      </c>
    </row>
    <row r="21" spans="1:5" ht="14.25" customHeight="1" x14ac:dyDescent="0.25">
      <c r="A21" s="200" t="s">
        <v>137</v>
      </c>
      <c r="B21" s="201"/>
      <c r="C21" s="201"/>
      <c r="D21" s="202"/>
      <c r="E21" s="200"/>
    </row>
    <row r="22" spans="1:5" ht="15" customHeight="1" x14ac:dyDescent="0.25">
      <c r="A22" s="133" t="s">
        <v>115</v>
      </c>
      <c r="B22" s="144" t="s">
        <v>94</v>
      </c>
      <c r="C22" s="133">
        <v>88000</v>
      </c>
      <c r="D22" s="132">
        <f>C22/3700</f>
        <v>23.783783783783782</v>
      </c>
      <c r="E22" s="133">
        <f>C22/3200</f>
        <v>27.5</v>
      </c>
    </row>
    <row r="23" spans="1:5" ht="13.5" customHeight="1" x14ac:dyDescent="0.3">
      <c r="A23" s="134" t="s">
        <v>97</v>
      </c>
      <c r="B23" s="135" t="s">
        <v>98</v>
      </c>
      <c r="C23" s="134">
        <f>C22</f>
        <v>88000</v>
      </c>
      <c r="D23" s="132">
        <f t="shared" ref="D23" si="4">C23/3700</f>
        <v>23.783783783783782</v>
      </c>
      <c r="E23" s="133">
        <f t="shared" ref="E23:E25" si="5">C23/3200</f>
        <v>27.5</v>
      </c>
    </row>
    <row r="24" spans="1:5" ht="18" customHeight="1" x14ac:dyDescent="0.25">
      <c r="A24" s="123" t="s">
        <v>111</v>
      </c>
      <c r="B24" s="124" t="s">
        <v>98</v>
      </c>
      <c r="C24" s="125">
        <v>150000</v>
      </c>
      <c r="D24" s="136">
        <f>C24/3700</f>
        <v>40.54054054054054</v>
      </c>
      <c r="E24" s="137">
        <f t="shared" si="5"/>
        <v>46.875</v>
      </c>
    </row>
    <row r="25" spans="1:5" ht="18.75" customHeight="1" x14ac:dyDescent="0.3">
      <c r="A25" s="127" t="s">
        <v>112</v>
      </c>
      <c r="B25" s="128" t="s">
        <v>113</v>
      </c>
      <c r="C25" s="129">
        <f>C24-C23</f>
        <v>62000</v>
      </c>
      <c r="D25" s="138">
        <f>C25/3700</f>
        <v>16.756756756756758</v>
      </c>
      <c r="E25" s="139">
        <f t="shared" si="5"/>
        <v>19.375</v>
      </c>
    </row>
    <row r="26" spans="1:5" ht="18.75" customHeight="1" x14ac:dyDescent="0.25">
      <c r="A26" s="200" t="s">
        <v>138</v>
      </c>
      <c r="B26" s="201"/>
      <c r="C26" s="201"/>
      <c r="D26" s="202"/>
      <c r="E26" s="200"/>
    </row>
    <row r="27" spans="1:5" x14ac:dyDescent="0.25">
      <c r="A27" s="143" t="s">
        <v>117</v>
      </c>
      <c r="B27" s="144" t="s">
        <v>94</v>
      </c>
      <c r="C27" s="133">
        <v>144473.98000000001</v>
      </c>
      <c r="D27" s="132">
        <f>C27/3700</f>
        <v>39.047021621621624</v>
      </c>
      <c r="E27" s="133">
        <f>C27/3200</f>
        <v>45.148118750000002</v>
      </c>
    </row>
    <row r="28" spans="1:5" x14ac:dyDescent="0.25">
      <c r="A28" s="143" t="s">
        <v>118</v>
      </c>
      <c r="B28" s="144" t="s">
        <v>94</v>
      </c>
      <c r="C28" s="133">
        <v>52109.956133973326</v>
      </c>
      <c r="D28" s="132">
        <f t="shared" ref="D28:D32" si="6">C28/3700</f>
        <v>14.0837719281009</v>
      </c>
      <c r="E28" s="133">
        <f t="shared" ref="E28:E32" si="7">C28/3200</f>
        <v>16.284361291866663</v>
      </c>
    </row>
    <row r="29" spans="1:5" x14ac:dyDescent="0.25">
      <c r="A29" s="143" t="s">
        <v>119</v>
      </c>
      <c r="B29" s="144" t="s">
        <v>94</v>
      </c>
      <c r="C29" s="133">
        <v>142502.56</v>
      </c>
      <c r="D29" s="132">
        <f t="shared" si="6"/>
        <v>38.514205405405406</v>
      </c>
      <c r="E29" s="133">
        <f t="shared" si="7"/>
        <v>44.532049999999998</v>
      </c>
    </row>
    <row r="30" spans="1:5" x14ac:dyDescent="0.25">
      <c r="A30" s="143" t="s">
        <v>120</v>
      </c>
      <c r="B30" s="144" t="s">
        <v>94</v>
      </c>
      <c r="C30" s="133">
        <v>52109.956133973326</v>
      </c>
      <c r="D30" s="132">
        <f t="shared" si="6"/>
        <v>14.0837719281009</v>
      </c>
      <c r="E30" s="133">
        <f t="shared" si="7"/>
        <v>16.284361291866663</v>
      </c>
    </row>
    <row r="31" spans="1:5" x14ac:dyDescent="0.25">
      <c r="A31" s="143" t="s">
        <v>121</v>
      </c>
      <c r="B31" s="144" t="s">
        <v>94</v>
      </c>
      <c r="C31" s="133">
        <v>43945.319459626699</v>
      </c>
      <c r="D31" s="132">
        <f t="shared" si="6"/>
        <v>11.877113367466675</v>
      </c>
      <c r="E31" s="133">
        <f t="shared" si="7"/>
        <v>13.732912331133344</v>
      </c>
    </row>
    <row r="32" spans="1:5" x14ac:dyDescent="0.25">
      <c r="A32" s="143" t="s">
        <v>122</v>
      </c>
      <c r="B32" s="144" t="s">
        <v>94</v>
      </c>
      <c r="C32" s="133">
        <v>142502.56</v>
      </c>
      <c r="D32" s="132">
        <f t="shared" si="6"/>
        <v>38.514205405405406</v>
      </c>
      <c r="E32" s="133">
        <f t="shared" si="7"/>
        <v>44.532049999999998</v>
      </c>
    </row>
    <row r="33" spans="1:5" ht="12" x14ac:dyDescent="0.3">
      <c r="A33" s="134" t="s">
        <v>97</v>
      </c>
      <c r="B33" s="135" t="s">
        <v>98</v>
      </c>
      <c r="C33" s="133">
        <f>C27+C28+C29+C30+C31+C32</f>
        <v>577644.33172757342</v>
      </c>
      <c r="D33" s="132"/>
      <c r="E33" s="133"/>
    </row>
    <row r="34" spans="1:5" x14ac:dyDescent="0.25">
      <c r="A34" s="123" t="s">
        <v>111</v>
      </c>
      <c r="B34" s="148" t="s">
        <v>98</v>
      </c>
      <c r="C34" s="137">
        <v>650000</v>
      </c>
      <c r="D34" s="136">
        <f t="shared" ref="D34:D35" si="8">C34/3700</f>
        <v>175.67567567567568</v>
      </c>
      <c r="E34" s="137">
        <f t="shared" ref="E34:E35" si="9">C34/3200</f>
        <v>203.125</v>
      </c>
    </row>
    <row r="35" spans="1:5" ht="15" customHeight="1" x14ac:dyDescent="0.3">
      <c r="A35" s="127" t="s">
        <v>112</v>
      </c>
      <c r="B35" s="148" t="s">
        <v>98</v>
      </c>
      <c r="C35" s="149">
        <f>C34-C33</f>
        <v>72355.668272426585</v>
      </c>
      <c r="D35" s="150">
        <f t="shared" si="8"/>
        <v>19.555586019574754</v>
      </c>
      <c r="E35" s="151">
        <f t="shared" si="9"/>
        <v>22.611146335133309</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FF"/>
  </sheetPr>
  <dimension ref="A1:E55"/>
  <sheetViews>
    <sheetView zoomScale="120" zoomScaleNormal="120" workbookViewId="0">
      <pane xSplit="1" ySplit="3" topLeftCell="B4" activePane="bottomRight" state="frozen"/>
      <selection pane="topRight" activeCell="B1" sqref="B1"/>
      <selection pane="bottomLeft" activeCell="A4" sqref="A4"/>
      <selection pane="bottomRight" activeCell="G10" sqref="G10"/>
    </sheetView>
  </sheetViews>
  <sheetFormatPr baseColWidth="10" defaultColWidth="11.453125" defaultRowHeight="13" x14ac:dyDescent="0.3"/>
  <cols>
    <col min="1" max="1" width="31.81640625" style="15" customWidth="1"/>
    <col min="2" max="2" width="11.81640625" style="15" customWidth="1"/>
    <col min="3" max="3" width="17.81640625" style="15" customWidth="1"/>
    <col min="4" max="4" width="16" style="16" customWidth="1"/>
    <col min="5" max="5" width="20.26953125" style="15" customWidth="1"/>
    <col min="6" max="6" width="13.54296875" style="15" customWidth="1"/>
    <col min="7" max="7" width="13.1796875" style="15" bestFit="1" customWidth="1"/>
    <col min="8" max="16384" width="11.453125" style="15"/>
  </cols>
  <sheetData>
    <row r="1" spans="1:5" ht="27" customHeight="1" thickBot="1" x14ac:dyDescent="0.35">
      <c r="A1" s="312" t="s">
        <v>143</v>
      </c>
      <c r="B1" s="313"/>
      <c r="C1" s="313"/>
      <c r="D1" s="313"/>
      <c r="E1" s="313"/>
    </row>
    <row r="2" spans="1:5" ht="16.5" customHeight="1" thickBot="1" x14ac:dyDescent="0.35">
      <c r="A2" s="320" t="s">
        <v>144</v>
      </c>
      <c r="B2" s="321"/>
      <c r="C2" s="321"/>
      <c r="D2" s="321"/>
      <c r="E2" s="322"/>
    </row>
    <row r="3" spans="1:5" ht="17.25" customHeight="1" x14ac:dyDescent="0.3">
      <c r="A3" s="77"/>
      <c r="B3" s="71" t="s">
        <v>87</v>
      </c>
      <c r="C3" s="72" t="s">
        <v>88</v>
      </c>
      <c r="D3" s="73" t="s">
        <v>89</v>
      </c>
      <c r="E3" s="74" t="s">
        <v>90</v>
      </c>
    </row>
    <row r="4" spans="1:5" ht="17.25" customHeight="1" x14ac:dyDescent="0.3">
      <c r="A4" s="75" t="s">
        <v>91</v>
      </c>
      <c r="B4" s="78"/>
      <c r="C4" s="76"/>
      <c r="D4" s="76"/>
      <c r="E4" s="76"/>
    </row>
    <row r="5" spans="1:5" ht="14.25" customHeight="1" x14ac:dyDescent="0.3">
      <c r="A5" s="68" t="s">
        <v>145</v>
      </c>
    </row>
    <row r="6" spans="1:5" x14ac:dyDescent="0.3">
      <c r="A6" s="18" t="s">
        <v>93</v>
      </c>
      <c r="B6" s="17" t="s">
        <v>94</v>
      </c>
      <c r="C6" s="18">
        <v>950000</v>
      </c>
      <c r="D6" s="19">
        <f>C6/3700</f>
        <v>256.75675675675677</v>
      </c>
      <c r="E6" s="18">
        <f>C6/3200</f>
        <v>296.875</v>
      </c>
    </row>
    <row r="7" spans="1:5" x14ac:dyDescent="0.3">
      <c r="A7" s="18" t="s">
        <v>95</v>
      </c>
      <c r="B7" s="17" t="s">
        <v>94</v>
      </c>
      <c r="C7" s="18">
        <v>144473.98000000001</v>
      </c>
      <c r="D7" s="19">
        <f>C7/3700</f>
        <v>39.047021621621624</v>
      </c>
      <c r="E7" s="18">
        <f>C7/3200</f>
        <v>45.148118750000002</v>
      </c>
    </row>
    <row r="8" spans="1:5" x14ac:dyDescent="0.3">
      <c r="A8" s="18" t="s">
        <v>96</v>
      </c>
      <c r="B8" s="17" t="s">
        <v>94</v>
      </c>
      <c r="C8" s="18">
        <v>43945.319459626655</v>
      </c>
      <c r="D8" s="19">
        <f>C8/3700</f>
        <v>11.877113367466663</v>
      </c>
      <c r="E8" s="18">
        <f>C8/3200</f>
        <v>13.732912331133329</v>
      </c>
    </row>
    <row r="9" spans="1:5" x14ac:dyDescent="0.3">
      <c r="A9" s="27" t="s">
        <v>97</v>
      </c>
      <c r="B9" s="28" t="s">
        <v>98</v>
      </c>
      <c r="C9" s="27">
        <f>SUM(C6:C8)</f>
        <v>1138419.2994596267</v>
      </c>
      <c r="D9" s="19">
        <f>C9/3700</f>
        <v>307.68089174584503</v>
      </c>
      <c r="E9" s="18">
        <f>C9/3200</f>
        <v>355.75603108113336</v>
      </c>
    </row>
    <row r="10" spans="1:5" x14ac:dyDescent="0.3">
      <c r="A10" s="39" t="s">
        <v>146</v>
      </c>
      <c r="B10" s="3"/>
      <c r="C10" s="3"/>
      <c r="D10" s="4"/>
      <c r="E10" s="2"/>
    </row>
    <row r="11" spans="1:5" x14ac:dyDescent="0.3">
      <c r="A11" s="10" t="s">
        <v>100</v>
      </c>
      <c r="B11" s="9" t="s">
        <v>101</v>
      </c>
      <c r="C11" s="10">
        <v>57482.191780821915</v>
      </c>
      <c r="D11" s="19">
        <f>C11/3700</f>
        <v>15.535727508330247</v>
      </c>
      <c r="E11" s="18">
        <f>C11/3200</f>
        <v>17.963184931506849</v>
      </c>
    </row>
    <row r="12" spans="1:5" x14ac:dyDescent="0.3">
      <c r="A12" s="10" t="s">
        <v>102</v>
      </c>
      <c r="B12" s="9" t="s">
        <v>101</v>
      </c>
      <c r="C12" s="10">
        <v>767.1232876712329</v>
      </c>
      <c r="D12" s="19">
        <f t="shared" ref="D12:D20" si="0">C12/3700</f>
        <v>0.2073306182895224</v>
      </c>
      <c r="E12" s="45">
        <f t="shared" ref="E12:E20" si="1">C12/3200</f>
        <v>0.23972602739726029</v>
      </c>
    </row>
    <row r="13" spans="1:5" x14ac:dyDescent="0.3">
      <c r="A13" s="10" t="s">
        <v>103</v>
      </c>
      <c r="B13" s="9" t="s">
        <v>101</v>
      </c>
      <c r="C13" s="10">
        <v>10520.547945205479</v>
      </c>
      <c r="D13" s="19">
        <f t="shared" si="0"/>
        <v>2.8433913365420214</v>
      </c>
      <c r="E13" s="18">
        <f t="shared" si="1"/>
        <v>3.2876712328767121</v>
      </c>
    </row>
    <row r="14" spans="1:5" x14ac:dyDescent="0.3">
      <c r="A14" s="10" t="s">
        <v>104</v>
      </c>
      <c r="B14" s="9" t="s">
        <v>101</v>
      </c>
      <c r="C14" s="10">
        <v>31347.608219178081</v>
      </c>
      <c r="D14" s="19">
        <f t="shared" si="0"/>
        <v>8.4723265457238064</v>
      </c>
      <c r="E14" s="18">
        <f t="shared" si="1"/>
        <v>9.7961275684931497</v>
      </c>
    </row>
    <row r="15" spans="1:5" x14ac:dyDescent="0.3">
      <c r="A15" s="10" t="s">
        <v>105</v>
      </c>
      <c r="B15" s="9" t="s">
        <v>101</v>
      </c>
      <c r="C15" s="10">
        <v>25643.835616438355</v>
      </c>
      <c r="D15" s="19">
        <f t="shared" si="0"/>
        <v>6.9307663828211767</v>
      </c>
      <c r="E15" s="18">
        <f t="shared" si="1"/>
        <v>8.0136986301369859</v>
      </c>
    </row>
    <row r="16" spans="1:5" x14ac:dyDescent="0.3">
      <c r="A16" s="10" t="s">
        <v>106</v>
      </c>
      <c r="B16" s="9" t="s">
        <v>101</v>
      </c>
      <c r="C16" s="10">
        <v>5109.58904109589</v>
      </c>
      <c r="D16" s="19">
        <f t="shared" si="0"/>
        <v>1.3809700111069974</v>
      </c>
      <c r="E16" s="18">
        <f t="shared" si="1"/>
        <v>1.5967465753424657</v>
      </c>
    </row>
    <row r="17" spans="1:5" x14ac:dyDescent="0.3">
      <c r="A17" s="10" t="s">
        <v>107</v>
      </c>
      <c r="B17" s="9" t="s">
        <v>101</v>
      </c>
      <c r="C17" s="10">
        <v>18410.95890410959</v>
      </c>
      <c r="D17" s="19">
        <f t="shared" si="0"/>
        <v>4.9759348389485378</v>
      </c>
      <c r="E17" s="18">
        <f t="shared" si="1"/>
        <v>5.7534246575342465</v>
      </c>
    </row>
    <row r="18" spans="1:5" x14ac:dyDescent="0.3">
      <c r="A18" s="10" t="s">
        <v>108</v>
      </c>
      <c r="B18" s="9" t="s">
        <v>101</v>
      </c>
      <c r="C18" s="10">
        <v>32876.71232876712</v>
      </c>
      <c r="D18" s="19">
        <f t="shared" si="0"/>
        <v>8.8855979266938157</v>
      </c>
      <c r="E18" s="18">
        <f t="shared" si="1"/>
        <v>10.273972602739725</v>
      </c>
    </row>
    <row r="19" spans="1:5" x14ac:dyDescent="0.3">
      <c r="A19" s="10" t="s">
        <v>109</v>
      </c>
      <c r="B19" s="9" t="s">
        <v>101</v>
      </c>
      <c r="C19" s="10">
        <v>6313.3616438356166</v>
      </c>
      <c r="D19" s="19">
        <f t="shared" si="0"/>
        <v>1.7063139577934099</v>
      </c>
      <c r="E19" s="18">
        <f t="shared" si="1"/>
        <v>1.9729255136986301</v>
      </c>
    </row>
    <row r="20" spans="1:5" x14ac:dyDescent="0.3">
      <c r="A20" s="8" t="s">
        <v>97</v>
      </c>
      <c r="B20" s="24" t="s">
        <v>98</v>
      </c>
      <c r="C20" s="10">
        <f>SUM(C11:C19)</f>
        <v>188471.92876712326</v>
      </c>
      <c r="D20" s="19">
        <f t="shared" si="0"/>
        <v>50.93835912624953</v>
      </c>
      <c r="E20" s="18">
        <f t="shared" si="1"/>
        <v>58.897477739726021</v>
      </c>
    </row>
    <row r="21" spans="1:5" x14ac:dyDescent="0.3">
      <c r="A21" s="8" t="s">
        <v>147</v>
      </c>
      <c r="B21" s="24" t="s">
        <v>98</v>
      </c>
      <c r="C21" s="10">
        <f>C20+C9</f>
        <v>1326891.2282267499</v>
      </c>
      <c r="D21" s="84">
        <v>82.123390311280716</v>
      </c>
      <c r="E21" s="79">
        <v>94.955170047418321</v>
      </c>
    </row>
    <row r="22" spans="1:5" x14ac:dyDescent="0.3">
      <c r="A22" s="43" t="s">
        <v>136</v>
      </c>
      <c r="B22" s="44" t="s">
        <v>98</v>
      </c>
      <c r="C22" s="43">
        <v>2200000</v>
      </c>
      <c r="D22" s="85">
        <v>229.72972972972974</v>
      </c>
      <c r="E22" s="86">
        <v>265.625</v>
      </c>
    </row>
    <row r="23" spans="1:5" x14ac:dyDescent="0.3">
      <c r="A23" s="8" t="s">
        <v>112</v>
      </c>
      <c r="B23" s="24" t="s">
        <v>113</v>
      </c>
      <c r="C23" s="10">
        <f>C22-C21</f>
        <v>873108.77177325008</v>
      </c>
      <c r="D23" s="84">
        <v>35.330853078009376</v>
      </c>
      <c r="E23" s="79">
        <v>40.851298871448343</v>
      </c>
    </row>
    <row r="24" spans="1:5" ht="14" x14ac:dyDescent="0.3">
      <c r="A24" s="39" t="s">
        <v>148</v>
      </c>
      <c r="B24" s="65"/>
      <c r="C24" s="65"/>
      <c r="D24" s="66"/>
      <c r="E24" s="64"/>
    </row>
    <row r="25" spans="1:5" s="1" customFormat="1" x14ac:dyDescent="0.3">
      <c r="A25" s="14" t="s">
        <v>117</v>
      </c>
      <c r="B25" s="6" t="s">
        <v>94</v>
      </c>
      <c r="C25" s="5">
        <v>144473.98000000001</v>
      </c>
      <c r="D25" s="7">
        <f>C25/3700</f>
        <v>39.047021621621624</v>
      </c>
      <c r="E25" s="5">
        <f>C25/3200</f>
        <v>45.148118750000002</v>
      </c>
    </row>
    <row r="26" spans="1:5" s="1" customFormat="1" x14ac:dyDescent="0.3">
      <c r="A26" s="14" t="s">
        <v>118</v>
      </c>
      <c r="B26" s="6" t="s">
        <v>94</v>
      </c>
      <c r="C26" s="5">
        <v>52109.956133973326</v>
      </c>
      <c r="D26" s="7">
        <f t="shared" ref="D26:D33" si="2">C26/3700</f>
        <v>14.0837719281009</v>
      </c>
      <c r="E26" s="5">
        <f t="shared" ref="E26:E33" si="3">C26/3200</f>
        <v>16.284361291866663</v>
      </c>
    </row>
    <row r="27" spans="1:5" s="1" customFormat="1" x14ac:dyDescent="0.3">
      <c r="A27" s="14" t="s">
        <v>119</v>
      </c>
      <c r="B27" s="6" t="s">
        <v>94</v>
      </c>
      <c r="C27" s="5">
        <v>142502.56</v>
      </c>
      <c r="D27" s="7">
        <f t="shared" si="2"/>
        <v>38.514205405405406</v>
      </c>
      <c r="E27" s="5">
        <f t="shared" si="3"/>
        <v>44.532049999999998</v>
      </c>
    </row>
    <row r="28" spans="1:5" s="1" customFormat="1" x14ac:dyDescent="0.3">
      <c r="A28" s="14" t="s">
        <v>120</v>
      </c>
      <c r="B28" s="6" t="s">
        <v>94</v>
      </c>
      <c r="C28" s="5">
        <v>52109.956133973326</v>
      </c>
      <c r="D28" s="7">
        <f t="shared" si="2"/>
        <v>14.0837719281009</v>
      </c>
      <c r="E28" s="5">
        <f t="shared" si="3"/>
        <v>16.284361291866663</v>
      </c>
    </row>
    <row r="29" spans="1:5" s="1" customFormat="1" x14ac:dyDescent="0.3">
      <c r="A29" s="14" t="s">
        <v>121</v>
      </c>
      <c r="B29" s="6" t="s">
        <v>94</v>
      </c>
      <c r="C29" s="5">
        <v>43945.319459626655</v>
      </c>
      <c r="D29" s="7">
        <f t="shared" si="2"/>
        <v>11.877113367466663</v>
      </c>
      <c r="E29" s="5">
        <f t="shared" si="3"/>
        <v>13.732912331133329</v>
      </c>
    </row>
    <row r="30" spans="1:5" s="1" customFormat="1" x14ac:dyDescent="0.3">
      <c r="A30" s="14" t="s">
        <v>122</v>
      </c>
      <c r="B30" s="6" t="s">
        <v>94</v>
      </c>
      <c r="C30" s="5">
        <f>142502.56/2</f>
        <v>71251.28</v>
      </c>
      <c r="D30" s="7">
        <f t="shared" si="2"/>
        <v>19.257102702702703</v>
      </c>
      <c r="E30" s="5">
        <f t="shared" si="3"/>
        <v>22.266024999999999</v>
      </c>
    </row>
    <row r="31" spans="1:5" s="1" customFormat="1" ht="13.5" customHeight="1" x14ac:dyDescent="0.3">
      <c r="A31" s="12" t="s">
        <v>97</v>
      </c>
      <c r="B31" s="25" t="s">
        <v>98</v>
      </c>
      <c r="C31" s="5">
        <f>C25+C26+C27+C28+C29+C30</f>
        <v>506393.05172757339</v>
      </c>
      <c r="D31" s="7">
        <f t="shared" si="2"/>
        <v>136.86298695339821</v>
      </c>
      <c r="E31" s="5">
        <f t="shared" si="3"/>
        <v>158.24782866486669</v>
      </c>
    </row>
    <row r="32" spans="1:5" s="1" customFormat="1" x14ac:dyDescent="0.3">
      <c r="A32" s="30" t="s">
        <v>111</v>
      </c>
      <c r="B32" s="33" t="s">
        <v>98</v>
      </c>
      <c r="C32" s="32">
        <v>650000</v>
      </c>
      <c r="D32" s="31">
        <f t="shared" si="2"/>
        <v>175.67567567567568</v>
      </c>
      <c r="E32" s="32">
        <f t="shared" si="3"/>
        <v>203.125</v>
      </c>
    </row>
    <row r="33" spans="1:5" s="1" customFormat="1" ht="15" customHeight="1" x14ac:dyDescent="0.3">
      <c r="A33" s="29" t="s">
        <v>112</v>
      </c>
      <c r="B33" s="33" t="s">
        <v>98</v>
      </c>
      <c r="C33" s="34">
        <f>C32-C31</f>
        <v>143606.94827242661</v>
      </c>
      <c r="D33" s="35">
        <f t="shared" si="2"/>
        <v>38.812688722277464</v>
      </c>
      <c r="E33" s="38">
        <f t="shared" si="3"/>
        <v>44.877171335133319</v>
      </c>
    </row>
    <row r="34" spans="1:5" ht="15" x14ac:dyDescent="0.3">
      <c r="A34" s="67" t="s">
        <v>149</v>
      </c>
      <c r="B34" s="3"/>
      <c r="C34" s="3"/>
      <c r="D34" s="4"/>
      <c r="E34" s="2"/>
    </row>
    <row r="35" spans="1:5" ht="14.25" customHeight="1" x14ac:dyDescent="0.3">
      <c r="A35" s="5" t="s">
        <v>115</v>
      </c>
      <c r="B35" s="6" t="s">
        <v>94</v>
      </c>
      <c r="C35" s="5">
        <v>88000</v>
      </c>
      <c r="D35" s="7">
        <f>C35/3700</f>
        <v>23.783783783783782</v>
      </c>
      <c r="E35" s="5">
        <f>C35/3200</f>
        <v>27.5</v>
      </c>
    </row>
    <row r="36" spans="1:5" x14ac:dyDescent="0.3">
      <c r="A36" s="12" t="s">
        <v>150</v>
      </c>
      <c r="B36" s="25" t="s">
        <v>98</v>
      </c>
      <c r="C36" s="12">
        <f>C35</f>
        <v>88000</v>
      </c>
      <c r="D36" s="7">
        <f t="shared" ref="D36:D38" si="4">C36/3700</f>
        <v>23.783783783783782</v>
      </c>
      <c r="E36" s="5">
        <f t="shared" ref="E36:E38" si="5">C36/3200</f>
        <v>27.5</v>
      </c>
    </row>
    <row r="37" spans="1:5" x14ac:dyDescent="0.3">
      <c r="A37" s="46" t="s">
        <v>111</v>
      </c>
      <c r="B37" s="47" t="s">
        <v>113</v>
      </c>
      <c r="C37" s="42">
        <v>180000</v>
      </c>
      <c r="D37" s="48">
        <f t="shared" si="4"/>
        <v>48.648648648648646</v>
      </c>
      <c r="E37" s="49">
        <f t="shared" si="5"/>
        <v>56.25</v>
      </c>
    </row>
    <row r="38" spans="1:5" x14ac:dyDescent="0.3">
      <c r="A38" s="40" t="s">
        <v>112</v>
      </c>
      <c r="B38" s="41" t="s">
        <v>113</v>
      </c>
      <c r="C38" s="50">
        <f>C37-C36</f>
        <v>92000</v>
      </c>
      <c r="D38" s="48">
        <f t="shared" si="4"/>
        <v>24.864864864864863</v>
      </c>
      <c r="E38" s="49">
        <f t="shared" si="5"/>
        <v>28.75</v>
      </c>
    </row>
    <row r="39" spans="1:5" x14ac:dyDescent="0.3">
      <c r="A39" s="10"/>
      <c r="B39" s="69"/>
      <c r="C39" s="70"/>
      <c r="D39" s="11"/>
      <c r="E39" s="10"/>
    </row>
    <row r="40" spans="1:5" ht="15" x14ac:dyDescent="0.3">
      <c r="A40" s="67" t="s">
        <v>151</v>
      </c>
      <c r="B40" s="23"/>
      <c r="C40" s="23"/>
      <c r="D40" s="22"/>
      <c r="E40" s="21"/>
    </row>
    <row r="41" spans="1:5" ht="19.5" customHeight="1" x14ac:dyDescent="0.3">
      <c r="A41" s="68"/>
      <c r="B41" s="88"/>
      <c r="C41" s="89" t="s">
        <v>88</v>
      </c>
      <c r="D41" s="90" t="s">
        <v>89</v>
      </c>
      <c r="E41" s="88" t="s">
        <v>90</v>
      </c>
    </row>
    <row r="42" spans="1:5" ht="15" customHeight="1" x14ac:dyDescent="0.3">
      <c r="A42" s="14" t="s">
        <v>152</v>
      </c>
      <c r="B42" s="91" t="s">
        <v>153</v>
      </c>
      <c r="C42" s="91">
        <v>1300000</v>
      </c>
      <c r="D42" s="92">
        <f>C42/3700</f>
        <v>351.35135135135135</v>
      </c>
      <c r="E42" s="79">
        <f>C42/3200</f>
        <v>406.25</v>
      </c>
    </row>
    <row r="43" spans="1:5" x14ac:dyDescent="0.3">
      <c r="A43" s="14" t="s">
        <v>154</v>
      </c>
      <c r="B43" s="91" t="s">
        <v>155</v>
      </c>
      <c r="C43" s="91">
        <v>1700000</v>
      </c>
      <c r="D43" s="92">
        <f t="shared" ref="D43:D49" si="6">C43/3700</f>
        <v>459.45945945945948</v>
      </c>
      <c r="E43" s="79">
        <f t="shared" ref="E43:E49" si="7">C43/3200</f>
        <v>531.25</v>
      </c>
    </row>
    <row r="44" spans="1:5" x14ac:dyDescent="0.3">
      <c r="A44" s="14" t="s">
        <v>156</v>
      </c>
      <c r="B44" s="91" t="s">
        <v>157</v>
      </c>
      <c r="C44" s="91">
        <v>1300000</v>
      </c>
      <c r="D44" s="92">
        <f t="shared" si="6"/>
        <v>351.35135135135135</v>
      </c>
      <c r="E44" s="79">
        <f t="shared" si="7"/>
        <v>406.25</v>
      </c>
    </row>
    <row r="45" spans="1:5" x14ac:dyDescent="0.3">
      <c r="A45" s="93" t="s">
        <v>158</v>
      </c>
      <c r="B45" s="91" t="s">
        <v>159</v>
      </c>
      <c r="C45" s="91">
        <v>700000</v>
      </c>
      <c r="D45" s="92">
        <f>C45/3700</f>
        <v>189.18918918918919</v>
      </c>
      <c r="E45" s="79">
        <f t="shared" si="7"/>
        <v>218.75</v>
      </c>
    </row>
    <row r="46" spans="1:5" x14ac:dyDescent="0.3">
      <c r="A46" s="93" t="s">
        <v>160</v>
      </c>
      <c r="B46" s="91" t="s">
        <v>157</v>
      </c>
      <c r="C46" s="91">
        <v>1700000</v>
      </c>
      <c r="D46" s="92">
        <f t="shared" si="6"/>
        <v>459.45945945945948</v>
      </c>
      <c r="E46" s="79">
        <f t="shared" si="7"/>
        <v>531.25</v>
      </c>
    </row>
    <row r="47" spans="1:5" x14ac:dyDescent="0.3">
      <c r="A47" s="93" t="s">
        <v>161</v>
      </c>
      <c r="B47" s="91" t="s">
        <v>162</v>
      </c>
      <c r="C47" s="91">
        <v>2400000</v>
      </c>
      <c r="D47" s="92">
        <f t="shared" ref="D47" si="8">C47/3700</f>
        <v>648.64864864864865</v>
      </c>
      <c r="E47" s="79">
        <f t="shared" ref="E47" si="9">C47/3200</f>
        <v>750</v>
      </c>
    </row>
    <row r="48" spans="1:5" x14ac:dyDescent="0.3">
      <c r="A48" s="14" t="s">
        <v>163</v>
      </c>
      <c r="B48" s="91"/>
      <c r="C48" s="91">
        <v>1449850</v>
      </c>
      <c r="D48" s="92">
        <f t="shared" si="6"/>
        <v>391.85135135135135</v>
      </c>
      <c r="E48" s="79">
        <f t="shared" si="7"/>
        <v>453.078125</v>
      </c>
    </row>
    <row r="49" spans="1:5" x14ac:dyDescent="0.3">
      <c r="A49" s="14" t="s">
        <v>164</v>
      </c>
      <c r="B49" s="91"/>
      <c r="C49" s="94">
        <f>2700000*1.07</f>
        <v>2889000</v>
      </c>
      <c r="D49" s="92">
        <f t="shared" si="6"/>
        <v>780.81081081081084</v>
      </c>
      <c r="E49" s="79">
        <f t="shared" si="7"/>
        <v>902.8125</v>
      </c>
    </row>
    <row r="50" spans="1:5" x14ac:dyDescent="0.3">
      <c r="A50" s="80"/>
      <c r="B50" s="81"/>
      <c r="C50" s="20"/>
      <c r="D50" s="82"/>
    </row>
    <row r="51" spans="1:5" ht="29.25" customHeight="1" x14ac:dyDescent="0.3">
      <c r="A51" s="323" t="s">
        <v>127</v>
      </c>
      <c r="B51" s="324"/>
      <c r="C51" s="324"/>
      <c r="D51" s="324"/>
      <c r="E51" s="324"/>
    </row>
    <row r="52" spans="1:5" ht="13.5" thickBot="1" x14ac:dyDescent="0.35"/>
    <row r="53" spans="1:5" ht="14" x14ac:dyDescent="0.3">
      <c r="A53" s="87" t="s">
        <v>128</v>
      </c>
      <c r="B53" s="325" t="s">
        <v>129</v>
      </c>
      <c r="C53" s="326"/>
      <c r="D53" s="15"/>
    </row>
    <row r="54" spans="1:5" ht="21.75" customHeight="1" x14ac:dyDescent="0.3">
      <c r="A54" s="36" t="s">
        <v>130</v>
      </c>
      <c r="B54" s="316">
        <f>B55*5%+(B55)</f>
        <v>945000</v>
      </c>
      <c r="C54" s="317"/>
      <c r="D54" s="15"/>
    </row>
    <row r="55" spans="1:5" ht="25.5" customHeight="1" thickBot="1" x14ac:dyDescent="0.35">
      <c r="A55" s="37" t="s">
        <v>131</v>
      </c>
      <c r="B55" s="318">
        <v>900000</v>
      </c>
      <c r="C55" s="319"/>
      <c r="D55" s="15"/>
    </row>
  </sheetData>
  <sheetProtection formatCells="0" formatColumns="0" formatRows="0" insertColumns="0" insertRows="0" insertHyperlinks="0" deleteColumns="0" deleteRows="0" sort="0" autoFilter="0" pivotTables="0"/>
  <mergeCells count="6">
    <mergeCell ref="B55:C55"/>
    <mergeCell ref="A1:E1"/>
    <mergeCell ref="A2:E2"/>
    <mergeCell ref="A51:E51"/>
    <mergeCell ref="B53:C53"/>
    <mergeCell ref="B54:C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1.FUENTESFINAN</vt:lpstr>
      <vt:lpstr>2.TARIFAS ORG</vt:lpstr>
      <vt:lpstr>3.PLANMUESTREOORG</vt:lpstr>
      <vt:lpstr>4.PLANMUESTREONOANUN</vt:lpstr>
      <vt:lpstr>5.TARIFAS UTZ </vt:lpstr>
      <vt:lpstr>6.TARIFAS 4C</vt:lpstr>
      <vt:lpstr>7.TARIFAS S&amp;D</vt:lpstr>
      <vt:lpstr>8.GG+ADDON </vt:lpstr>
      <vt:lpstr>3.TARIFASRSPO</vt:lpstr>
      <vt:lpstr>10.TARIFAS ISCC</vt:lpstr>
      <vt:lpstr>11.BRC+IFS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dc:creator>
  <cp:keywords/>
  <dc:description/>
  <cp:lastModifiedBy>DIEGO FRANCO</cp:lastModifiedBy>
  <cp:revision/>
  <dcterms:created xsi:type="dcterms:W3CDTF">2019-01-31T15:10:00Z</dcterms:created>
  <dcterms:modified xsi:type="dcterms:W3CDTF">2025-02-21T14:47:42Z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2023-06-20T13:44:51Z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304e4905-1c86-4924-b996-fa83938a4bd6</vt:lpwstr>
  </property>
  <property fmtid="{D5CDD505-2E9C-101B-9397-08002B2CF9AE}" pid="8" name="MSIP_Label_55e46f04-1151-4928-a464-2b4d83efefbb_ContentBits">
    <vt:lpwstr>0</vt:lpwstr>
  </property>
</Properties>
</file>